
<file path=[Content_Types].xml><?xml version="1.0" encoding="utf-8"?>
<Types xmlns="http://schemas.openxmlformats.org/package/2006/content-types">
  <Default Extension="bin" ContentType="application/vnd.openxmlformats-officedocument.spreadsheetml.customProperty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7935" activeTab="1"/>
  </bookViews>
  <sheets>
    <sheet name="Directions" sheetId="12" r:id="rId1"/>
    <sheet name="Heating and Concentration" sheetId="8" r:id="rId2"/>
    <sheet name="Chart1" sheetId="11" r:id="rId3"/>
    <sheet name="Conversions" sheetId="9" r:id="rId4"/>
    <sheet name="DV-IDENTITY-0" sheetId="13" state="veryHidden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A5" i="13"/>
  <c r="B5"/>
  <c r="C5"/>
  <c r="D5"/>
  <c r="E5"/>
  <c r="F5"/>
  <c r="G5"/>
  <c r="H5"/>
  <c r="I5"/>
  <c r="J5"/>
  <c r="K5"/>
  <c r="L5"/>
  <c r="M5"/>
  <c r="N5"/>
  <c r="O5"/>
  <c r="P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E12" i="8"/>
  <c r="E19" s="1"/>
  <c r="E20" s="1"/>
  <c r="E27"/>
  <c r="E28" s="1"/>
  <c r="L4"/>
  <c r="C17" i="9"/>
  <c r="E17" s="1"/>
  <c r="C5"/>
  <c r="G17" s="1"/>
  <c r="C34"/>
  <c r="C31"/>
  <c r="C29"/>
  <c r="C26"/>
  <c r="C24"/>
  <c r="C20"/>
  <c r="C12"/>
  <c r="C8"/>
  <c r="E7" i="8"/>
  <c r="E10"/>
  <c r="E13" l="1"/>
  <c r="E31"/>
  <c r="E37" s="1"/>
  <c r="E35"/>
  <c r="E36" s="1"/>
</calcChain>
</file>

<file path=xl/sharedStrings.xml><?xml version="1.0" encoding="utf-8"?>
<sst xmlns="http://schemas.openxmlformats.org/spreadsheetml/2006/main" count="93" uniqueCount="73">
  <si>
    <t>gpm</t>
  </si>
  <si>
    <t>kg</t>
  </si>
  <si>
    <t>lbs</t>
  </si>
  <si>
    <t>Kilograms to pounds</t>
  </si>
  <si>
    <t>Pounds to Kilograms</t>
  </si>
  <si>
    <t>Barrels to gallons</t>
  </si>
  <si>
    <t>BBLS</t>
  </si>
  <si>
    <t>GALS</t>
  </si>
  <si>
    <t>Liters</t>
  </si>
  <si>
    <t>Gallons</t>
  </si>
  <si>
    <t>Liters to Gallons</t>
  </si>
  <si>
    <t>Gallons to Liters</t>
  </si>
  <si>
    <t>°C</t>
  </si>
  <si>
    <t>°F</t>
  </si>
  <si>
    <t>Celsius to Farnheit</t>
  </si>
  <si>
    <t>Farnheit to Celsius</t>
  </si>
  <si>
    <t>Heating and Concentration</t>
  </si>
  <si>
    <t>= User Defined</t>
  </si>
  <si>
    <t>Heatup</t>
  </si>
  <si>
    <t>Volumetric Flow</t>
  </si>
  <si>
    <t>Initial Temp</t>
  </si>
  <si>
    <r>
      <t>o</t>
    </r>
    <r>
      <rPr>
        <sz val="10"/>
        <rFont val="Arial"/>
      </rPr>
      <t>F</t>
    </r>
  </si>
  <si>
    <r>
      <t>o</t>
    </r>
    <r>
      <rPr>
        <sz val="10"/>
        <rFont val="Arial"/>
      </rPr>
      <t>C</t>
    </r>
  </si>
  <si>
    <t>Final Temp</t>
  </si>
  <si>
    <t>Delta T</t>
  </si>
  <si>
    <t>Density</t>
  </si>
  <si>
    <t>lb/gal</t>
  </si>
  <si>
    <t>*Water = 8.33</t>
  </si>
  <si>
    <t>Specific Heat</t>
  </si>
  <si>
    <t>*Water = 1.0</t>
  </si>
  <si>
    <t>Heatup Energy Requirement</t>
  </si>
  <si>
    <t>btu/hr</t>
  </si>
  <si>
    <t>hp</t>
  </si>
  <si>
    <t>Evaporation</t>
  </si>
  <si>
    <t>Volumetric Flow to be Evaporated</t>
  </si>
  <si>
    <t>Heat of Vaporization</t>
  </si>
  <si>
    <t>btu/lb</t>
  </si>
  <si>
    <t>*Water = ~1000</t>
  </si>
  <si>
    <t>Evaporation Energy Requirement</t>
  </si>
  <si>
    <t>Total HP Required (heat and evap)</t>
  </si>
  <si>
    <r>
      <t>btu/lb</t>
    </r>
    <r>
      <rPr>
        <vertAlign val="superscript"/>
        <sz val="10"/>
        <rFont val="Arial"/>
        <family val="2"/>
      </rPr>
      <t>o</t>
    </r>
    <r>
      <rPr>
        <sz val="10"/>
        <rFont val="Arial"/>
      </rPr>
      <t>F</t>
    </r>
  </si>
  <si>
    <t>Horsepower to KW</t>
  </si>
  <si>
    <t>KW</t>
  </si>
  <si>
    <t>KW to HP</t>
  </si>
  <si>
    <t>horsepower to kW</t>
  </si>
  <si>
    <t>hp to metric hp</t>
  </si>
  <si>
    <t>metric hp to kW</t>
  </si>
  <si>
    <t>kW to hp</t>
  </si>
  <si>
    <t>metric hp tp hp</t>
  </si>
  <si>
    <t>kW to metric hp</t>
  </si>
  <si>
    <t>HP to Metric HP</t>
  </si>
  <si>
    <t>Total Energy Required</t>
  </si>
  <si>
    <t xml:space="preserve">Equilivant Boiler Hp </t>
  </si>
  <si>
    <t>BTU</t>
  </si>
  <si>
    <t>To Heat a Tank place this value in E4</t>
  </si>
  <si>
    <t>Volume ot tank in gallons</t>
  </si>
  <si>
    <t>Time to heat-up in min</t>
  </si>
  <si>
    <t>¬</t>
  </si>
  <si>
    <t>Place values here only if evaporating</t>
  </si>
  <si>
    <t>For heating only</t>
  </si>
  <si>
    <t>For evap only</t>
  </si>
  <si>
    <t>For heating plus evap</t>
  </si>
  <si>
    <t>KW required</t>
  </si>
  <si>
    <t>AAAAAGF/j4Q=</t>
  </si>
  <si>
    <t>AAAAAGF/j4U=</t>
  </si>
  <si>
    <t>Use spreadsheet to calculate horsepower required</t>
  </si>
  <si>
    <t>Look-up corresponding RPM on chart</t>
  </si>
  <si>
    <t>Curve should hold for most water-like fluids</t>
  </si>
  <si>
    <t>Viscosity plays a role and shifts the curve, a simple test can determine a multiplier of new fluid versus water</t>
  </si>
  <si>
    <t>This multiplier can be used to generate a new curve for that fluid</t>
  </si>
  <si>
    <t>Steps:</t>
  </si>
  <si>
    <t>Notes:</t>
  </si>
  <si>
    <t>Amperage can also be used as a proxy for HP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</si>
</sst>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10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  <charset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165" fontId="0" fillId="0" borderId="0" xfId="0" applyNumberForma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quotePrefix="1"/>
    <xf numFmtId="0" fontId="6" fillId="0" borderId="0" xfId="0" applyFont="1" applyAlignment="1">
      <alignment horizontal="left" inden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3" fillId="2" borderId="4" xfId="0" applyFont="1" applyFill="1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0" fillId="0" borderId="6" xfId="0" applyBorder="1" applyAlignment="1">
      <alignment horizontal="center"/>
    </xf>
    <xf numFmtId="168" fontId="3" fillId="2" borderId="0" xfId="0" applyNumberFormat="1" applyFont="1" applyFill="1" applyBorder="1"/>
    <xf numFmtId="0" fontId="4" fillId="0" borderId="6" xfId="0" applyFont="1" applyBorder="1" applyAlignment="1">
      <alignment horizontal="center"/>
    </xf>
    <xf numFmtId="168" fontId="3" fillId="0" borderId="0" xfId="0" applyNumberFormat="1" applyFont="1" applyBorder="1"/>
    <xf numFmtId="2" fontId="3" fillId="2" borderId="0" xfId="0" applyNumberFormat="1" applyFont="1" applyFill="1" applyBorder="1"/>
    <xf numFmtId="165" fontId="3" fillId="0" borderId="0" xfId="1" applyNumberFormat="1" applyFont="1" applyBorder="1"/>
    <xf numFmtId="0" fontId="0" fillId="0" borderId="7" xfId="0" applyBorder="1"/>
    <xf numFmtId="0" fontId="0" fillId="0" borderId="7" xfId="0" applyBorder="1" applyAlignment="1">
      <alignment horizontal="right"/>
    </xf>
    <xf numFmtId="165" fontId="3" fillId="0" borderId="7" xfId="0" applyNumberFormat="1" applyFont="1" applyBorder="1"/>
    <xf numFmtId="0" fontId="0" fillId="0" borderId="8" xfId="0" applyBorder="1" applyAlignment="1">
      <alignment horizontal="center"/>
    </xf>
    <xf numFmtId="0" fontId="3" fillId="2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165" fontId="3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165" fontId="3" fillId="0" borderId="13" xfId="0" applyNumberFormat="1" applyFont="1" applyBorder="1"/>
    <xf numFmtId="0" fontId="0" fillId="0" borderId="14" xfId="0" applyBorder="1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167" fontId="0" fillId="0" borderId="0" xfId="1" applyNumberFormat="1" applyFont="1"/>
    <xf numFmtId="167" fontId="0" fillId="0" borderId="0" xfId="1" applyNumberFormat="1" applyFont="1" applyAlignment="1">
      <alignment wrapText="1"/>
    </xf>
    <xf numFmtId="43" fontId="0" fillId="0" borderId="0" xfId="1" applyNumberFormat="1" applyFont="1"/>
    <xf numFmtId="165" fontId="3" fillId="0" borderId="0" xfId="0" applyNumberFormat="1" applyFont="1"/>
    <xf numFmtId="43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15" xfId="0" applyFont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Cavitator 12x2</a:t>
            </a:r>
            <a:endParaRPr lang="en-US"/>
          </a:p>
        </c:rich>
      </c:tx>
    </c:title>
    <c:plotArea>
      <c:layout/>
      <c:scatterChart>
        <c:scatterStyle val="smoothMarker"/>
        <c:ser>
          <c:idx val="0"/>
          <c:order val="0"/>
          <c:tx>
            <c:v>APV</c:v>
          </c:tx>
          <c:marker>
            <c:symbol val="none"/>
          </c:marker>
          <c:xVal>
            <c:numRef>
              <c:f>'[1]APV Cavitator'!$B$26:$B$31</c:f>
              <c:numCache>
                <c:formatCode>General</c:formatCode>
                <c:ptCount val="6"/>
                <c:pt idx="0">
                  <c:v>595</c:v>
                </c:pt>
                <c:pt idx="1">
                  <c:v>1198</c:v>
                </c:pt>
                <c:pt idx="2">
                  <c:v>1790</c:v>
                </c:pt>
                <c:pt idx="3">
                  <c:v>2390</c:v>
                </c:pt>
                <c:pt idx="4">
                  <c:v>2985</c:v>
                </c:pt>
                <c:pt idx="5">
                  <c:v>3578</c:v>
                </c:pt>
              </c:numCache>
            </c:numRef>
          </c:xVal>
          <c:yVal>
            <c:numRef>
              <c:f>'[1]APV Cavitator'!$M$26:$M$31</c:f>
              <c:numCache>
                <c:formatCode>General</c:formatCode>
                <c:ptCount val="6"/>
                <c:pt idx="0">
                  <c:v>3.1409269442262375</c:v>
                </c:pt>
                <c:pt idx="1">
                  <c:v>4.7113904163393565</c:v>
                </c:pt>
                <c:pt idx="2">
                  <c:v>6.2818538884524751</c:v>
                </c:pt>
                <c:pt idx="3">
                  <c:v>10.99324430479183</c:v>
                </c:pt>
                <c:pt idx="4">
                  <c:v>20.416025137470541</c:v>
                </c:pt>
                <c:pt idx="5">
                  <c:v>29.838805970149256</c:v>
                </c:pt>
              </c:numCache>
            </c:numRef>
          </c:yVal>
          <c:smooth val="1"/>
        </c:ser>
        <c:axId val="75998720"/>
        <c:axId val="76009472"/>
      </c:scatterChart>
      <c:valAx>
        <c:axId val="7599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</c:title>
        <c:numFmt formatCode="General" sourceLinked="1"/>
        <c:majorTickMark val="none"/>
        <c:tickLblPos val="nextTo"/>
        <c:crossAx val="76009472"/>
        <c:crosses val="autoZero"/>
        <c:crossBetween val="midCat"/>
      </c:valAx>
      <c:valAx>
        <c:axId val="76009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HP</a:t>
                </a:r>
              </a:p>
            </c:rich>
          </c:tx>
        </c:title>
        <c:numFmt formatCode="General" sourceLinked="1"/>
        <c:majorTickMark val="none"/>
        <c:tickLblPos val="nextTo"/>
        <c:crossAx val="75998720"/>
        <c:crosses val="autoZero"/>
        <c:crossBetween val="midCat"/>
      </c:valAx>
    </c:plotArea>
    <c:legend>
      <c:legendPos val="r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0.00809</cdr:y>
    </cdr:from>
    <cdr:to>
      <cdr:x>0.00587</cdr:x>
      <cdr:y>0.00809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sz="1100"/>
            <a:t>xpm2rgBZNrYVM9lFjaZ2Mu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s/SPX/APV%20Cavitator%20vs%20HDI%20SP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(2)"/>
      <sheetName val="HDI Sanitary 12x2"/>
      <sheetName val="Chart1"/>
      <sheetName val="APV Cavitator"/>
    </sheetNames>
    <sheetDataSet>
      <sheetData sheetId="0" refreshError="1"/>
      <sheetData sheetId="1" refreshError="1"/>
      <sheetData sheetId="2" refreshError="1"/>
      <sheetData sheetId="3">
        <row r="26">
          <cell r="B26">
            <v>595</v>
          </cell>
          <cell r="M26">
            <v>3.1409269442262375</v>
          </cell>
        </row>
        <row r="27">
          <cell r="B27">
            <v>1198</v>
          </cell>
          <cell r="M27">
            <v>4.7113904163393565</v>
          </cell>
        </row>
        <row r="28">
          <cell r="B28">
            <v>1790</v>
          </cell>
          <cell r="M28">
            <v>6.2818538884524751</v>
          </cell>
        </row>
        <row r="29">
          <cell r="B29">
            <v>2390</v>
          </cell>
          <cell r="M29">
            <v>10.99324430479183</v>
          </cell>
        </row>
        <row r="30">
          <cell r="B30">
            <v>2985</v>
          </cell>
          <cell r="M30">
            <v>20.416025137470541</v>
          </cell>
        </row>
        <row r="31">
          <cell r="B31">
            <v>3578</v>
          </cell>
          <cell r="M31">
            <v>29.838805970149256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9"/>
  <sheetViews>
    <sheetView workbookViewId="0">
      <selection activeCell="D9" sqref="D9"/>
    </sheetView>
  </sheetViews>
  <sheetFormatPr defaultRowHeight="12.75"/>
  <sheetData>
    <row r="1" spans="1:1">
      <c r="A1" s="11" t="s">
        <v>70</v>
      </c>
    </row>
    <row r="2" spans="1:1">
      <c r="A2" t="s">
        <v>65</v>
      </c>
    </row>
    <row r="3" spans="1:1">
      <c r="A3" t="s">
        <v>66</v>
      </c>
    </row>
    <row r="5" spans="1:1">
      <c r="A5" s="11" t="s">
        <v>71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s="54" t="s">
        <v>72</v>
      </c>
    </row>
  </sheetData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L40"/>
  <sheetViews>
    <sheetView tabSelected="1" workbookViewId="0">
      <selection activeCell="L12" sqref="L12"/>
    </sheetView>
  </sheetViews>
  <sheetFormatPr defaultRowHeight="12.75"/>
  <cols>
    <col min="1" max="1" width="1.7109375" customWidth="1"/>
    <col min="4" max="4" width="10.7109375" style="6" customWidth="1"/>
    <col min="5" max="5" width="14" style="11" bestFit="1" customWidth="1"/>
    <col min="6" max="6" width="9.140625" style="12"/>
  </cols>
  <sheetData>
    <row r="1" spans="2:12" ht="20.25">
      <c r="B1" s="10" t="s">
        <v>16</v>
      </c>
    </row>
    <row r="2" spans="2:12">
      <c r="G2" s="13"/>
      <c r="H2" s="14" t="s">
        <v>17</v>
      </c>
    </row>
    <row r="3" spans="2:12" ht="13.5" thickBot="1">
      <c r="B3" s="15" t="s">
        <v>18</v>
      </c>
    </row>
    <row r="4" spans="2:12" ht="13.5" thickBot="1">
      <c r="B4" s="16"/>
      <c r="C4" s="17"/>
      <c r="D4" s="18" t="s">
        <v>19</v>
      </c>
      <c r="E4" s="19">
        <v>2</v>
      </c>
      <c r="F4" s="20" t="s">
        <v>0</v>
      </c>
      <c r="G4" s="52" t="s">
        <v>57</v>
      </c>
      <c r="H4" t="s">
        <v>54</v>
      </c>
      <c r="L4" s="53">
        <f>L5/L6</f>
        <v>25</v>
      </c>
    </row>
    <row r="5" spans="2:12">
      <c r="B5" s="7"/>
      <c r="C5" s="21"/>
      <c r="D5" s="22"/>
      <c r="E5" s="23"/>
      <c r="F5" s="24"/>
      <c r="I5" t="s">
        <v>55</v>
      </c>
      <c r="L5" s="13">
        <v>3000</v>
      </c>
    </row>
    <row r="6" spans="2:12" ht="14.25">
      <c r="B6" s="7"/>
      <c r="C6" s="21"/>
      <c r="D6" s="22" t="s">
        <v>20</v>
      </c>
      <c r="E6" s="25">
        <v>70</v>
      </c>
      <c r="F6" s="26" t="s">
        <v>21</v>
      </c>
      <c r="I6" t="s">
        <v>56</v>
      </c>
      <c r="L6" s="13">
        <v>120</v>
      </c>
    </row>
    <row r="7" spans="2:12" ht="14.25">
      <c r="B7" s="7"/>
      <c r="C7" s="21"/>
      <c r="D7" s="22"/>
      <c r="E7" s="27">
        <f>(E6-32)*5/9</f>
        <v>21.111111111111111</v>
      </c>
      <c r="F7" s="26" t="s">
        <v>22</v>
      </c>
    </row>
    <row r="8" spans="2:12">
      <c r="B8" s="7"/>
      <c r="C8" s="21"/>
      <c r="D8" s="22"/>
      <c r="E8" s="23"/>
      <c r="F8" s="24"/>
    </row>
    <row r="9" spans="2:12" ht="14.25">
      <c r="B9" s="7"/>
      <c r="C9" s="21"/>
      <c r="D9" s="22" t="s">
        <v>23</v>
      </c>
      <c r="E9" s="25">
        <v>212</v>
      </c>
      <c r="F9" s="26" t="s">
        <v>21</v>
      </c>
    </row>
    <row r="10" spans="2:12" ht="14.25">
      <c r="B10" s="7"/>
      <c r="C10" s="21"/>
      <c r="D10" s="22"/>
      <c r="E10" s="27">
        <f>(E9-32)*5/9</f>
        <v>100</v>
      </c>
      <c r="F10" s="26" t="s">
        <v>22</v>
      </c>
    </row>
    <row r="11" spans="2:12">
      <c r="B11" s="7"/>
      <c r="C11" s="21"/>
      <c r="D11" s="22"/>
      <c r="E11" s="23"/>
      <c r="F11" s="24"/>
    </row>
    <row r="12" spans="2:12" ht="14.25">
      <c r="B12" s="7"/>
      <c r="C12" s="21"/>
      <c r="D12" s="22" t="s">
        <v>24</v>
      </c>
      <c r="E12" s="23">
        <f>E9-E6</f>
        <v>142</v>
      </c>
      <c r="F12" s="26" t="s">
        <v>21</v>
      </c>
    </row>
    <row r="13" spans="2:12" ht="14.25">
      <c r="B13" s="7"/>
      <c r="C13" s="21"/>
      <c r="D13" s="22"/>
      <c r="E13" s="27">
        <f>E10-E7</f>
        <v>78.888888888888886</v>
      </c>
      <c r="F13" s="26" t="s">
        <v>22</v>
      </c>
    </row>
    <row r="14" spans="2:12">
      <c r="B14" s="7"/>
      <c r="C14" s="21"/>
      <c r="D14" s="22"/>
      <c r="E14" s="23"/>
      <c r="F14" s="24"/>
    </row>
    <row r="15" spans="2:12">
      <c r="B15" s="7"/>
      <c r="C15" s="21"/>
      <c r="D15" s="22" t="s">
        <v>25</v>
      </c>
      <c r="E15" s="28">
        <v>8.33</v>
      </c>
      <c r="F15" s="24" t="s">
        <v>26</v>
      </c>
      <c r="G15" t="s">
        <v>27</v>
      </c>
    </row>
    <row r="16" spans="2:12">
      <c r="B16" s="7"/>
      <c r="C16" s="21"/>
      <c r="D16" s="22"/>
      <c r="E16" s="23"/>
      <c r="F16" s="24"/>
    </row>
    <row r="17" spans="2:8" ht="14.25">
      <c r="B17" s="7"/>
      <c r="C17" s="21"/>
      <c r="D17" s="22" t="s">
        <v>28</v>
      </c>
      <c r="E17" s="25">
        <v>1</v>
      </c>
      <c r="F17" s="24" t="s">
        <v>40</v>
      </c>
      <c r="G17" t="s">
        <v>29</v>
      </c>
    </row>
    <row r="18" spans="2:8">
      <c r="B18" s="7"/>
      <c r="C18" s="21"/>
      <c r="D18" s="22"/>
      <c r="E18" s="23"/>
      <c r="F18" s="24"/>
    </row>
    <row r="19" spans="2:8">
      <c r="B19" s="7"/>
      <c r="C19" s="21"/>
      <c r="D19" s="22" t="s">
        <v>30</v>
      </c>
      <c r="E19" s="29">
        <f>E4*E15*60*E17*E12</f>
        <v>141943.20000000001</v>
      </c>
      <c r="F19" s="24" t="s">
        <v>31</v>
      </c>
      <c r="G19" s="52" t="s">
        <v>57</v>
      </c>
      <c r="H19" t="s">
        <v>59</v>
      </c>
    </row>
    <row r="20" spans="2:8">
      <c r="B20" s="8"/>
      <c r="C20" s="30"/>
      <c r="D20" s="31"/>
      <c r="E20" s="32">
        <f>E19/2545</f>
        <v>55.773359528487234</v>
      </c>
      <c r="F20" s="33" t="s">
        <v>32</v>
      </c>
    </row>
    <row r="22" spans="2:8">
      <c r="B22" s="15" t="s">
        <v>33</v>
      </c>
    </row>
    <row r="23" spans="2:8">
      <c r="B23" s="16"/>
      <c r="C23" s="17"/>
      <c r="D23" s="18" t="s">
        <v>34</v>
      </c>
      <c r="E23" s="19">
        <v>2</v>
      </c>
      <c r="F23" s="20" t="s">
        <v>0</v>
      </c>
      <c r="H23" t="s">
        <v>58</v>
      </c>
    </row>
    <row r="24" spans="2:8">
      <c r="B24" s="7"/>
      <c r="C24" s="21"/>
      <c r="D24" s="22"/>
      <c r="E24" s="23"/>
      <c r="F24" s="24"/>
    </row>
    <row r="25" spans="2:8">
      <c r="B25" s="7"/>
      <c r="C25" s="21"/>
      <c r="D25" s="22" t="s">
        <v>35</v>
      </c>
      <c r="E25" s="34">
        <v>1000</v>
      </c>
      <c r="F25" s="24" t="s">
        <v>36</v>
      </c>
      <c r="G25" t="s">
        <v>37</v>
      </c>
    </row>
    <row r="26" spans="2:8">
      <c r="B26" s="7"/>
      <c r="C26" s="21"/>
      <c r="D26" s="22"/>
      <c r="E26" s="23"/>
      <c r="F26" s="24"/>
    </row>
    <row r="27" spans="2:8">
      <c r="B27" s="7"/>
      <c r="C27" s="21"/>
      <c r="D27" s="22" t="s">
        <v>38</v>
      </c>
      <c r="E27" s="29">
        <f>E23*E15*60*E25</f>
        <v>999600</v>
      </c>
      <c r="F27" s="24" t="s">
        <v>31</v>
      </c>
      <c r="G27" s="52" t="s">
        <v>57</v>
      </c>
      <c r="H27" t="s">
        <v>60</v>
      </c>
    </row>
    <row r="28" spans="2:8">
      <c r="B28" s="8"/>
      <c r="C28" s="30"/>
      <c r="D28" s="31"/>
      <c r="E28" s="32">
        <f>E27/2545</f>
        <v>392.77013752455798</v>
      </c>
      <c r="F28" s="33" t="s">
        <v>32</v>
      </c>
    </row>
    <row r="30" spans="2:8" ht="13.5" thickBot="1"/>
    <row r="31" spans="2:8">
      <c r="B31" s="35"/>
      <c r="C31" s="36"/>
      <c r="D31" s="37" t="s">
        <v>39</v>
      </c>
      <c r="E31" s="38">
        <f>E20+E28</f>
        <v>448.5434970530452</v>
      </c>
      <c r="F31" s="39" t="s">
        <v>32</v>
      </c>
      <c r="G31" s="52" t="s">
        <v>57</v>
      </c>
      <c r="H31" t="s">
        <v>61</v>
      </c>
    </row>
    <row r="32" spans="2:8" ht="13.5" thickBot="1">
      <c r="B32" s="40"/>
      <c r="C32" s="41"/>
      <c r="D32" s="42"/>
      <c r="E32" s="43"/>
      <c r="F32" s="44"/>
    </row>
    <row r="35" spans="2:6">
      <c r="B35" t="s">
        <v>51</v>
      </c>
      <c r="E35" s="50">
        <f>E19+E27</f>
        <v>1141543.2</v>
      </c>
      <c r="F35" s="12" t="s">
        <v>53</v>
      </c>
    </row>
    <row r="36" spans="2:6">
      <c r="B36" t="s">
        <v>52</v>
      </c>
      <c r="E36" s="51">
        <f>E35/33500</f>
        <v>34.075916417910449</v>
      </c>
    </row>
    <row r="37" spans="2:6">
      <c r="B37" t="s">
        <v>62</v>
      </c>
      <c r="E37" s="51">
        <f>E31*Conversions!J30</f>
        <v>334.47888575245582</v>
      </c>
    </row>
    <row r="38" spans="2:6">
      <c r="E38" s="1"/>
    </row>
    <row r="39" spans="2:6">
      <c r="E39" s="1"/>
    </row>
    <row r="40" spans="2:6">
      <c r="E40" s="1"/>
    </row>
  </sheetData>
  <phoneticPr fontId="2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K42"/>
  <sheetViews>
    <sheetView topLeftCell="A4" workbookViewId="0">
      <selection activeCell="B43" sqref="B43"/>
    </sheetView>
  </sheetViews>
  <sheetFormatPr defaultRowHeight="12.75"/>
  <cols>
    <col min="1" max="1" width="18.5703125" bestFit="1" customWidth="1"/>
    <col min="2" max="2" width="12.85546875" bestFit="1" customWidth="1"/>
    <col min="3" max="3" width="12" bestFit="1" customWidth="1"/>
    <col min="9" max="9" width="17.7109375" customWidth="1"/>
    <col min="12" max="12" width="15.140625" customWidth="1"/>
  </cols>
  <sheetData>
    <row r="3" spans="1:5">
      <c r="B3" s="6"/>
      <c r="C3" s="6"/>
    </row>
    <row r="4" spans="1:5">
      <c r="B4" s="6" t="s">
        <v>1</v>
      </c>
      <c r="C4" s="6" t="s">
        <v>2</v>
      </c>
    </row>
    <row r="5" spans="1:5">
      <c r="A5" t="s">
        <v>3</v>
      </c>
      <c r="B5" s="3">
        <v>1030</v>
      </c>
      <c r="C5" s="3">
        <f>B5/E5</f>
        <v>2270.7611503190969</v>
      </c>
      <c r="E5">
        <v>0.45359240000000001</v>
      </c>
    </row>
    <row r="6" spans="1:5">
      <c r="B6" s="3"/>
      <c r="C6" s="3"/>
    </row>
    <row r="7" spans="1:5">
      <c r="B7" s="6" t="s">
        <v>2</v>
      </c>
      <c r="C7" s="6" t="s">
        <v>1</v>
      </c>
    </row>
    <row r="8" spans="1:5">
      <c r="A8" t="s">
        <v>4</v>
      </c>
      <c r="B8" s="3">
        <v>110</v>
      </c>
      <c r="C8" s="3">
        <f>B8*E5</f>
        <v>49.895164000000001</v>
      </c>
    </row>
    <row r="9" spans="1:5">
      <c r="B9" s="3"/>
      <c r="C9" s="3"/>
    </row>
    <row r="10" spans="1:5">
      <c r="B10" s="3"/>
      <c r="C10" s="3"/>
    </row>
    <row r="11" spans="1:5">
      <c r="B11" s="6" t="s">
        <v>6</v>
      </c>
      <c r="C11" s="6" t="s">
        <v>7</v>
      </c>
    </row>
    <row r="12" spans="1:5">
      <c r="A12" t="s">
        <v>5</v>
      </c>
      <c r="B12" s="3">
        <v>50000</v>
      </c>
      <c r="C12" s="1">
        <f>B12*E12</f>
        <v>2100000</v>
      </c>
      <c r="E12">
        <v>42</v>
      </c>
    </row>
    <row r="16" spans="1:5">
      <c r="B16" s="6" t="s">
        <v>8</v>
      </c>
      <c r="C16" s="6" t="s">
        <v>9</v>
      </c>
    </row>
    <row r="17" spans="1:11">
      <c r="A17" t="s">
        <v>10</v>
      </c>
      <c r="B17" s="4">
        <v>2155000</v>
      </c>
      <c r="C17" s="3">
        <f>B17*0.2641721</f>
        <v>569290.87550000008</v>
      </c>
      <c r="E17" s="5">
        <f>C17/24/60</f>
        <v>395.34088576388893</v>
      </c>
      <c r="G17">
        <f>C5/C17</f>
        <v>3.9887538129338889E-3</v>
      </c>
    </row>
    <row r="18" spans="1:11">
      <c r="B18" s="4"/>
      <c r="C18" s="3"/>
    </row>
    <row r="19" spans="1:11">
      <c r="B19" s="6" t="s">
        <v>9</v>
      </c>
      <c r="C19" s="6" t="s">
        <v>8</v>
      </c>
    </row>
    <row r="20" spans="1:11">
      <c r="A20" t="s">
        <v>11</v>
      </c>
      <c r="B20" s="2">
        <v>0.26</v>
      </c>
      <c r="C20" s="49">
        <f>B20/0.2641721</f>
        <v>0.98420688634416731</v>
      </c>
    </row>
    <row r="23" spans="1:11">
      <c r="B23" s="6" t="s">
        <v>12</v>
      </c>
      <c r="C23" s="6" t="s">
        <v>13</v>
      </c>
    </row>
    <row r="24" spans="1:11">
      <c r="A24" t="s">
        <v>14</v>
      </c>
      <c r="B24" s="1">
        <v>37</v>
      </c>
      <c r="C24" s="9">
        <f>B24/5*9+32</f>
        <v>98.600000000000009</v>
      </c>
    </row>
    <row r="25" spans="1:11">
      <c r="B25" s="6" t="s">
        <v>13</v>
      </c>
      <c r="C25" s="6" t="s">
        <v>12</v>
      </c>
    </row>
    <row r="26" spans="1:11">
      <c r="A26" t="s">
        <v>15</v>
      </c>
      <c r="B26">
        <v>130</v>
      </c>
      <c r="C26">
        <f>(B26-32)/9*5</f>
        <v>54.444444444444443</v>
      </c>
    </row>
    <row r="28" spans="1:11">
      <c r="B28" s="6" t="s">
        <v>32</v>
      </c>
      <c r="C28" s="6" t="s">
        <v>42</v>
      </c>
    </row>
    <row r="29" spans="1:11">
      <c r="A29" t="s">
        <v>41</v>
      </c>
      <c r="B29" s="1">
        <v>350</v>
      </c>
      <c r="C29" s="1">
        <f>E29*B29</f>
        <v>260.995</v>
      </c>
      <c r="E29" s="47">
        <v>0.74570000000000003</v>
      </c>
    </row>
    <row r="30" spans="1:11">
      <c r="B30" s="6" t="s">
        <v>42</v>
      </c>
      <c r="C30" s="6" t="s">
        <v>32</v>
      </c>
      <c r="E30" s="47"/>
      <c r="I30" s="46" t="s">
        <v>44</v>
      </c>
      <c r="J30" s="46">
        <v>0.74570000000000003</v>
      </c>
    </row>
    <row r="31" spans="1:11">
      <c r="A31" t="s">
        <v>43</v>
      </c>
      <c r="B31" s="45">
        <v>186.4</v>
      </c>
      <c r="C31" s="9">
        <f>B31*E31</f>
        <v>249.9624</v>
      </c>
      <c r="E31" s="47">
        <v>1.341</v>
      </c>
      <c r="I31" s="46" t="s">
        <v>45</v>
      </c>
      <c r="K31" s="46"/>
    </row>
    <row r="32" spans="1:11">
      <c r="E32" s="47"/>
      <c r="I32" s="46" t="s">
        <v>46</v>
      </c>
      <c r="J32" s="46">
        <v>0.73499999999999999</v>
      </c>
      <c r="K32" s="46"/>
    </row>
    <row r="33" spans="1:11">
      <c r="E33" s="47"/>
      <c r="I33" s="46" t="s">
        <v>47</v>
      </c>
      <c r="J33" s="46">
        <v>1.341</v>
      </c>
      <c r="K33" s="46"/>
    </row>
    <row r="34" spans="1:11">
      <c r="A34" t="s">
        <v>50</v>
      </c>
      <c r="B34">
        <v>350</v>
      </c>
      <c r="C34" s="9">
        <f>B34*E34</f>
        <v>354.9</v>
      </c>
      <c r="E34" s="48">
        <v>1.014</v>
      </c>
      <c r="I34" s="46" t="s">
        <v>48</v>
      </c>
      <c r="J34" s="46">
        <v>0.98619999999999997</v>
      </c>
      <c r="K34" s="46"/>
    </row>
    <row r="35" spans="1:11">
      <c r="E35" s="47"/>
      <c r="I35" s="46" t="s">
        <v>49</v>
      </c>
      <c r="J35" s="46">
        <v>1.359</v>
      </c>
      <c r="K35" s="46"/>
    </row>
    <row r="36" spans="1:11">
      <c r="E36" s="47"/>
    </row>
    <row r="37" spans="1:11">
      <c r="E37" s="47"/>
    </row>
    <row r="38" spans="1:11">
      <c r="E38" s="47"/>
    </row>
    <row r="39" spans="1:11">
      <c r="E39" s="47"/>
    </row>
    <row r="40" spans="1:11">
      <c r="E40" s="47"/>
    </row>
    <row r="41" spans="1:11">
      <c r="E41" s="47"/>
    </row>
    <row r="42" spans="1:11">
      <c r="E42" s="47"/>
    </row>
  </sheetData>
  <phoneticPr fontId="2" type="noConversion"/>
  <pageMargins left="0.75" right="0.75" top="1" bottom="1" header="0.5" footer="0.5"/>
  <headerFooter alignWithMargins="0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5"/>
  <sheetViews>
    <sheetView workbookViewId="0">
      <selection activeCell="ED4" sqref="ED4"/>
    </sheetView>
  </sheetViews>
  <sheetFormatPr defaultRowHeight="12.75"/>
  <sheetData>
    <row r="1" spans="1:256">
      <c r="A1" t="e">
        <f>IF(Directions!1:1,"AAAAAH/7dwA=",0)</f>
        <v>#VALUE!</v>
      </c>
      <c r="B1" t="e">
        <f>AND(Directions!A2,"AAAAAH/7dwE=")</f>
        <v>#VALUE!</v>
      </c>
      <c r="C1" t="e">
        <f>IF(Directions!A:A,"AAAAAH/7dwI=",0)</f>
        <v>#VALUE!</v>
      </c>
      <c r="D1">
        <f>IF('Heating and Concentration'!1:1,"AAAAAH/7dwM=",0)</f>
        <v>0</v>
      </c>
      <c r="E1" t="e">
        <f>AND('Heating and Concentration'!B1,"AAAAAH/7dwQ=")</f>
        <v>#VALUE!</v>
      </c>
      <c r="F1" t="e">
        <f>AND('Heating and Concentration'!C1,"AAAAAH/7dwU=")</f>
        <v>#VALUE!</v>
      </c>
      <c r="G1" t="e">
        <f>AND('Heating and Concentration'!D1,"AAAAAH/7dwY=")</f>
        <v>#VALUE!</v>
      </c>
      <c r="H1" t="e">
        <f>AND('Heating and Concentration'!E1,"AAAAAH/7dwc=")</f>
        <v>#VALUE!</v>
      </c>
      <c r="I1" t="e">
        <f>AND('Heating and Concentration'!F1,"AAAAAH/7dwg=")</f>
        <v>#VALUE!</v>
      </c>
      <c r="J1" t="e">
        <f>AND('Heating and Concentration'!G1,"AAAAAH/7dwk=")</f>
        <v>#VALUE!</v>
      </c>
      <c r="K1" t="e">
        <f>AND('Heating and Concentration'!H1,"AAAAAH/7dwo=")</f>
        <v>#VALUE!</v>
      </c>
      <c r="L1" t="e">
        <f>AND('Heating and Concentration'!I1,"AAAAAH/7dws=")</f>
        <v>#VALUE!</v>
      </c>
      <c r="M1" t="e">
        <f>AND('Heating and Concentration'!J1,"AAAAAH/7dww=")</f>
        <v>#VALUE!</v>
      </c>
      <c r="N1" t="e">
        <f>AND('Heating and Concentration'!K1,"AAAAAH/7dw0=")</f>
        <v>#VALUE!</v>
      </c>
      <c r="O1" t="e">
        <f>AND('Heating and Concentration'!L1,"AAAAAH/7dw4=")</f>
        <v>#VALUE!</v>
      </c>
      <c r="P1">
        <f>IF('Heating and Concentration'!2:2,"AAAAAH/7dw8=",0)</f>
        <v>0</v>
      </c>
      <c r="Q1" t="e">
        <f>AND('Heating and Concentration'!B2,"AAAAAH/7dxA=")</f>
        <v>#VALUE!</v>
      </c>
      <c r="R1" t="e">
        <f>AND('Heating and Concentration'!C2,"AAAAAH/7dxE=")</f>
        <v>#VALUE!</v>
      </c>
      <c r="S1" t="e">
        <f>AND('Heating and Concentration'!D2,"AAAAAH/7dxI=")</f>
        <v>#VALUE!</v>
      </c>
      <c r="T1" t="e">
        <f>AND('Heating and Concentration'!E2,"AAAAAH/7dxM=")</f>
        <v>#VALUE!</v>
      </c>
      <c r="U1" t="e">
        <f>AND('Heating and Concentration'!F2,"AAAAAH/7dxQ=")</f>
        <v>#VALUE!</v>
      </c>
      <c r="V1" t="e">
        <f>AND('Heating and Concentration'!G2,"AAAAAH/7dxU=")</f>
        <v>#VALUE!</v>
      </c>
      <c r="W1" t="e">
        <f>AND('Heating and Concentration'!H2,"AAAAAH/7dxY=")</f>
        <v>#VALUE!</v>
      </c>
      <c r="X1" t="e">
        <f>AND('Heating and Concentration'!I2,"AAAAAH/7dxc=")</f>
        <v>#VALUE!</v>
      </c>
      <c r="Y1" t="e">
        <f>AND('Heating and Concentration'!J2,"AAAAAH/7dxg=")</f>
        <v>#VALUE!</v>
      </c>
      <c r="Z1" t="e">
        <f>AND('Heating and Concentration'!K2,"AAAAAH/7dxk=")</f>
        <v>#VALUE!</v>
      </c>
      <c r="AA1" t="e">
        <f>AND('Heating and Concentration'!L2,"AAAAAH/7dxo=")</f>
        <v>#VALUE!</v>
      </c>
      <c r="AB1">
        <f>IF('Heating and Concentration'!3:3,"AAAAAH/7dxs=",0)</f>
        <v>0</v>
      </c>
      <c r="AC1" t="e">
        <f>AND('Heating and Concentration'!B3,"AAAAAH/7dxw=")</f>
        <v>#VALUE!</v>
      </c>
      <c r="AD1" t="e">
        <f>AND('Heating and Concentration'!C3,"AAAAAH/7dx0=")</f>
        <v>#VALUE!</v>
      </c>
      <c r="AE1" t="e">
        <f>AND('Heating and Concentration'!D3,"AAAAAH/7dx4=")</f>
        <v>#VALUE!</v>
      </c>
      <c r="AF1" t="e">
        <f>AND('Heating and Concentration'!E3,"AAAAAH/7dx8=")</f>
        <v>#VALUE!</v>
      </c>
      <c r="AG1" t="e">
        <f>AND('Heating and Concentration'!F3,"AAAAAH/7dyA=")</f>
        <v>#VALUE!</v>
      </c>
      <c r="AH1" t="e">
        <f>AND('Heating and Concentration'!G3,"AAAAAH/7dyE=")</f>
        <v>#VALUE!</v>
      </c>
      <c r="AI1" t="e">
        <f>AND('Heating and Concentration'!H3,"AAAAAH/7dyI=")</f>
        <v>#VALUE!</v>
      </c>
      <c r="AJ1" t="e">
        <f>AND('Heating and Concentration'!I3,"AAAAAH/7dyM=")</f>
        <v>#VALUE!</v>
      </c>
      <c r="AK1" t="e">
        <f>AND('Heating and Concentration'!J3,"AAAAAH/7dyQ=")</f>
        <v>#VALUE!</v>
      </c>
      <c r="AL1" t="e">
        <f>AND('Heating and Concentration'!K3,"AAAAAH/7dyU=")</f>
        <v>#VALUE!</v>
      </c>
      <c r="AM1" t="e">
        <f>AND('Heating and Concentration'!L3,"AAAAAH/7dyY=")</f>
        <v>#VALUE!</v>
      </c>
      <c r="AN1">
        <f>IF('Heating and Concentration'!4:4,"AAAAAH/7dyc=",0)</f>
        <v>0</v>
      </c>
      <c r="AO1" t="e">
        <f>AND('Heating and Concentration'!B4,"AAAAAH/7dyg=")</f>
        <v>#VALUE!</v>
      </c>
      <c r="AP1" t="e">
        <f>AND('Heating and Concentration'!C4,"AAAAAH/7dyk=")</f>
        <v>#VALUE!</v>
      </c>
      <c r="AQ1" t="e">
        <f>AND('Heating and Concentration'!D4,"AAAAAH/7dyo=")</f>
        <v>#VALUE!</v>
      </c>
      <c r="AR1" t="e">
        <f>AND('Heating and Concentration'!E4,"AAAAAH/7dys=")</f>
        <v>#VALUE!</v>
      </c>
      <c r="AS1" t="e">
        <f>AND('Heating and Concentration'!F4,"AAAAAH/7dyw=")</f>
        <v>#VALUE!</v>
      </c>
      <c r="AT1" t="e">
        <f>AND('Heating and Concentration'!G4,"AAAAAH/7dy0=")</f>
        <v>#VALUE!</v>
      </c>
      <c r="AU1" t="e">
        <f>AND('Heating and Concentration'!H4,"AAAAAH/7dy4=")</f>
        <v>#VALUE!</v>
      </c>
      <c r="AV1" t="e">
        <f>AND('Heating and Concentration'!I4,"AAAAAH/7dy8=")</f>
        <v>#VALUE!</v>
      </c>
      <c r="AW1" t="e">
        <f>AND('Heating and Concentration'!J4,"AAAAAH/7dzA=")</f>
        <v>#VALUE!</v>
      </c>
      <c r="AX1" t="e">
        <f>AND('Heating and Concentration'!K4,"AAAAAH/7dzE=")</f>
        <v>#VALUE!</v>
      </c>
      <c r="AY1" t="e">
        <f>AND('Heating and Concentration'!L4,"AAAAAH/7dzI=")</f>
        <v>#VALUE!</v>
      </c>
      <c r="AZ1">
        <f>IF('Heating and Concentration'!5:5,"AAAAAH/7dzM=",0)</f>
        <v>0</v>
      </c>
      <c r="BA1" t="e">
        <f>AND('Heating and Concentration'!B5,"AAAAAH/7dzQ=")</f>
        <v>#VALUE!</v>
      </c>
      <c r="BB1" t="e">
        <f>AND('Heating and Concentration'!C5,"AAAAAH/7dzU=")</f>
        <v>#VALUE!</v>
      </c>
      <c r="BC1" t="e">
        <f>AND('Heating and Concentration'!D5,"AAAAAH/7dzY=")</f>
        <v>#VALUE!</v>
      </c>
      <c r="BD1" t="e">
        <f>AND('Heating and Concentration'!E5,"AAAAAH/7dzc=")</f>
        <v>#VALUE!</v>
      </c>
      <c r="BE1" t="e">
        <f>AND('Heating and Concentration'!F5,"AAAAAH/7dzg=")</f>
        <v>#VALUE!</v>
      </c>
      <c r="BF1" t="e">
        <f>AND('Heating and Concentration'!G5,"AAAAAH/7dzk=")</f>
        <v>#VALUE!</v>
      </c>
      <c r="BG1" t="e">
        <f>AND('Heating and Concentration'!H5,"AAAAAH/7dzo=")</f>
        <v>#VALUE!</v>
      </c>
      <c r="BH1" t="e">
        <f>AND('Heating and Concentration'!I5,"AAAAAH/7dzs=")</f>
        <v>#VALUE!</v>
      </c>
      <c r="BI1" t="e">
        <f>AND('Heating and Concentration'!J5,"AAAAAH/7dzw=")</f>
        <v>#VALUE!</v>
      </c>
      <c r="BJ1" t="e">
        <f>AND('Heating and Concentration'!K5,"AAAAAH/7dz0=")</f>
        <v>#VALUE!</v>
      </c>
      <c r="BK1" t="e">
        <f>AND('Heating and Concentration'!L5,"AAAAAH/7dz4=")</f>
        <v>#VALUE!</v>
      </c>
      <c r="BL1">
        <f>IF('Heating and Concentration'!6:6,"AAAAAH/7dz8=",0)</f>
        <v>0</v>
      </c>
      <c r="BM1" t="e">
        <f>AND('Heating and Concentration'!B6,"AAAAAH/7d0A=")</f>
        <v>#VALUE!</v>
      </c>
      <c r="BN1" t="e">
        <f>AND('Heating and Concentration'!C6,"AAAAAH/7d0E=")</f>
        <v>#VALUE!</v>
      </c>
      <c r="BO1" t="e">
        <f>AND('Heating and Concentration'!D6,"AAAAAH/7d0I=")</f>
        <v>#VALUE!</v>
      </c>
      <c r="BP1" t="e">
        <f>AND('Heating and Concentration'!E6,"AAAAAH/7d0M=")</f>
        <v>#VALUE!</v>
      </c>
      <c r="BQ1" t="e">
        <f>AND('Heating and Concentration'!F6,"AAAAAH/7d0Q=")</f>
        <v>#VALUE!</v>
      </c>
      <c r="BR1" t="e">
        <f>AND('Heating and Concentration'!G6,"AAAAAH/7d0U=")</f>
        <v>#VALUE!</v>
      </c>
      <c r="BS1" t="e">
        <f>AND('Heating and Concentration'!H6,"AAAAAH/7d0Y=")</f>
        <v>#VALUE!</v>
      </c>
      <c r="BT1" t="e">
        <f>AND('Heating and Concentration'!I6,"AAAAAH/7d0c=")</f>
        <v>#VALUE!</v>
      </c>
      <c r="BU1" t="e">
        <f>AND('Heating and Concentration'!J6,"AAAAAH/7d0g=")</f>
        <v>#VALUE!</v>
      </c>
      <c r="BV1" t="e">
        <f>AND('Heating and Concentration'!K6,"AAAAAH/7d0k=")</f>
        <v>#VALUE!</v>
      </c>
      <c r="BW1" t="e">
        <f>AND('Heating and Concentration'!L6,"AAAAAH/7d0o=")</f>
        <v>#VALUE!</v>
      </c>
      <c r="BX1">
        <f>IF('Heating and Concentration'!7:7,"AAAAAH/7d0s=",0)</f>
        <v>0</v>
      </c>
      <c r="BY1" t="e">
        <f>AND('Heating and Concentration'!B7,"AAAAAH/7d0w=")</f>
        <v>#VALUE!</v>
      </c>
      <c r="BZ1" t="e">
        <f>AND('Heating and Concentration'!C7,"AAAAAH/7d00=")</f>
        <v>#VALUE!</v>
      </c>
      <c r="CA1" t="e">
        <f>AND('Heating and Concentration'!D7,"AAAAAH/7d04=")</f>
        <v>#VALUE!</v>
      </c>
      <c r="CB1" t="e">
        <f>AND('Heating and Concentration'!E7,"AAAAAH/7d08=")</f>
        <v>#VALUE!</v>
      </c>
      <c r="CC1" t="e">
        <f>AND('Heating and Concentration'!F7,"AAAAAH/7d1A=")</f>
        <v>#VALUE!</v>
      </c>
      <c r="CD1" t="e">
        <f>AND('Heating and Concentration'!G7,"AAAAAH/7d1E=")</f>
        <v>#VALUE!</v>
      </c>
      <c r="CE1" t="e">
        <f>AND('Heating and Concentration'!H7,"AAAAAH/7d1I=")</f>
        <v>#VALUE!</v>
      </c>
      <c r="CF1" t="e">
        <f>AND('Heating and Concentration'!I7,"AAAAAH/7d1M=")</f>
        <v>#VALUE!</v>
      </c>
      <c r="CG1" t="e">
        <f>AND('Heating and Concentration'!J7,"AAAAAH/7d1Q=")</f>
        <v>#VALUE!</v>
      </c>
      <c r="CH1" t="e">
        <f>AND('Heating and Concentration'!K7,"AAAAAH/7d1U=")</f>
        <v>#VALUE!</v>
      </c>
      <c r="CI1" t="e">
        <f>AND('Heating and Concentration'!L7,"AAAAAH/7d1Y=")</f>
        <v>#VALUE!</v>
      </c>
      <c r="CJ1">
        <f>IF('Heating and Concentration'!8:8,"AAAAAH/7d1c=",0)</f>
        <v>0</v>
      </c>
      <c r="CK1" t="e">
        <f>AND('Heating and Concentration'!B8,"AAAAAH/7d1g=")</f>
        <v>#VALUE!</v>
      </c>
      <c r="CL1" t="e">
        <f>AND('Heating and Concentration'!C8,"AAAAAH/7d1k=")</f>
        <v>#VALUE!</v>
      </c>
      <c r="CM1" t="e">
        <f>AND('Heating and Concentration'!D8,"AAAAAH/7d1o=")</f>
        <v>#VALUE!</v>
      </c>
      <c r="CN1" t="e">
        <f>AND('Heating and Concentration'!E8,"AAAAAH/7d1s=")</f>
        <v>#VALUE!</v>
      </c>
      <c r="CO1" t="e">
        <f>AND('Heating and Concentration'!F8,"AAAAAH/7d1w=")</f>
        <v>#VALUE!</v>
      </c>
      <c r="CP1" t="e">
        <f>AND('Heating and Concentration'!G8,"AAAAAH/7d10=")</f>
        <v>#VALUE!</v>
      </c>
      <c r="CQ1" t="e">
        <f>AND('Heating and Concentration'!H8,"AAAAAH/7d14=")</f>
        <v>#VALUE!</v>
      </c>
      <c r="CR1" t="e">
        <f>AND('Heating and Concentration'!I8,"AAAAAH/7d18=")</f>
        <v>#VALUE!</v>
      </c>
      <c r="CS1" t="e">
        <f>AND('Heating and Concentration'!J8,"AAAAAH/7d2A=")</f>
        <v>#VALUE!</v>
      </c>
      <c r="CT1" t="e">
        <f>AND('Heating and Concentration'!K8,"AAAAAH/7d2E=")</f>
        <v>#VALUE!</v>
      </c>
      <c r="CU1" t="e">
        <f>AND('Heating and Concentration'!L8,"AAAAAH/7d2I=")</f>
        <v>#VALUE!</v>
      </c>
      <c r="CV1">
        <f>IF('Heating and Concentration'!9:9,"AAAAAH/7d2M=",0)</f>
        <v>0</v>
      </c>
      <c r="CW1" t="e">
        <f>AND('Heating and Concentration'!B9,"AAAAAH/7d2Q=")</f>
        <v>#VALUE!</v>
      </c>
      <c r="CX1" t="e">
        <f>AND('Heating and Concentration'!C9,"AAAAAH/7d2U=")</f>
        <v>#VALUE!</v>
      </c>
      <c r="CY1" t="e">
        <f>AND('Heating and Concentration'!D9,"AAAAAH/7d2Y=")</f>
        <v>#VALUE!</v>
      </c>
      <c r="CZ1" t="e">
        <f>AND('Heating and Concentration'!E9,"AAAAAH/7d2c=")</f>
        <v>#VALUE!</v>
      </c>
      <c r="DA1" t="e">
        <f>AND('Heating and Concentration'!F9,"AAAAAH/7d2g=")</f>
        <v>#VALUE!</v>
      </c>
      <c r="DB1" t="e">
        <f>AND('Heating and Concentration'!G9,"AAAAAH/7d2k=")</f>
        <v>#VALUE!</v>
      </c>
      <c r="DC1" t="e">
        <f>AND('Heating and Concentration'!H9,"AAAAAH/7d2o=")</f>
        <v>#VALUE!</v>
      </c>
      <c r="DD1" t="e">
        <f>AND('Heating and Concentration'!I9,"AAAAAH/7d2s=")</f>
        <v>#VALUE!</v>
      </c>
      <c r="DE1" t="e">
        <f>AND('Heating and Concentration'!J9,"AAAAAH/7d2w=")</f>
        <v>#VALUE!</v>
      </c>
      <c r="DF1" t="e">
        <f>AND('Heating and Concentration'!K9,"AAAAAH/7d20=")</f>
        <v>#VALUE!</v>
      </c>
      <c r="DG1" t="e">
        <f>AND('Heating and Concentration'!L9,"AAAAAH/7d24=")</f>
        <v>#VALUE!</v>
      </c>
      <c r="DH1">
        <f>IF('Heating and Concentration'!10:10,"AAAAAH/7d28=",0)</f>
        <v>0</v>
      </c>
      <c r="DI1" t="e">
        <f>AND('Heating and Concentration'!B10,"AAAAAH/7d3A=")</f>
        <v>#VALUE!</v>
      </c>
      <c r="DJ1" t="e">
        <f>AND('Heating and Concentration'!C10,"AAAAAH/7d3E=")</f>
        <v>#VALUE!</v>
      </c>
      <c r="DK1" t="e">
        <f>AND('Heating and Concentration'!D10,"AAAAAH/7d3I=")</f>
        <v>#VALUE!</v>
      </c>
      <c r="DL1" t="e">
        <f>AND('Heating and Concentration'!E10,"AAAAAH/7d3M=")</f>
        <v>#VALUE!</v>
      </c>
      <c r="DM1" t="e">
        <f>AND('Heating and Concentration'!F10,"AAAAAH/7d3Q=")</f>
        <v>#VALUE!</v>
      </c>
      <c r="DN1" t="e">
        <f>AND('Heating and Concentration'!G10,"AAAAAH/7d3U=")</f>
        <v>#VALUE!</v>
      </c>
      <c r="DO1" t="e">
        <f>AND('Heating and Concentration'!H10,"AAAAAH/7d3Y=")</f>
        <v>#VALUE!</v>
      </c>
      <c r="DP1" t="e">
        <f>AND('Heating and Concentration'!I10,"AAAAAH/7d3c=")</f>
        <v>#VALUE!</v>
      </c>
      <c r="DQ1" t="e">
        <f>AND('Heating and Concentration'!J10,"AAAAAH/7d3g=")</f>
        <v>#VALUE!</v>
      </c>
      <c r="DR1" t="e">
        <f>AND('Heating and Concentration'!K10,"AAAAAH/7d3k=")</f>
        <v>#VALUE!</v>
      </c>
      <c r="DS1" t="e">
        <f>AND('Heating and Concentration'!L10,"AAAAAH/7d3o=")</f>
        <v>#VALUE!</v>
      </c>
      <c r="DT1">
        <f>IF('Heating and Concentration'!11:11,"AAAAAH/7d3s=",0)</f>
        <v>0</v>
      </c>
      <c r="DU1" t="e">
        <f>AND('Heating and Concentration'!B11,"AAAAAH/7d3w=")</f>
        <v>#VALUE!</v>
      </c>
      <c r="DV1" t="e">
        <f>AND('Heating and Concentration'!C11,"AAAAAH/7d30=")</f>
        <v>#VALUE!</v>
      </c>
      <c r="DW1" t="e">
        <f>AND('Heating and Concentration'!D11,"AAAAAH/7d34=")</f>
        <v>#VALUE!</v>
      </c>
      <c r="DX1" t="e">
        <f>AND('Heating and Concentration'!E11,"AAAAAH/7d38=")</f>
        <v>#VALUE!</v>
      </c>
      <c r="DY1" t="e">
        <f>AND('Heating and Concentration'!F11,"AAAAAH/7d4A=")</f>
        <v>#VALUE!</v>
      </c>
      <c r="DZ1" t="e">
        <f>AND('Heating and Concentration'!G11,"AAAAAH/7d4E=")</f>
        <v>#VALUE!</v>
      </c>
      <c r="EA1" t="e">
        <f>AND('Heating and Concentration'!H11,"AAAAAH/7d4I=")</f>
        <v>#VALUE!</v>
      </c>
      <c r="EB1" t="e">
        <f>AND('Heating and Concentration'!I11,"AAAAAH/7d4M=")</f>
        <v>#VALUE!</v>
      </c>
      <c r="EC1" t="e">
        <f>AND('Heating and Concentration'!J11,"AAAAAH/7d4Q=")</f>
        <v>#VALUE!</v>
      </c>
      <c r="ED1" t="e">
        <f>AND('Heating and Concentration'!K11,"AAAAAH/7d4U=")</f>
        <v>#VALUE!</v>
      </c>
      <c r="EE1" t="e">
        <f>AND('Heating and Concentration'!L11,"AAAAAH/7d4Y=")</f>
        <v>#VALUE!</v>
      </c>
      <c r="EF1">
        <f>IF('Heating and Concentration'!12:12,"AAAAAH/7d4c=",0)</f>
        <v>0</v>
      </c>
      <c r="EG1" t="e">
        <f>AND('Heating and Concentration'!B12,"AAAAAH/7d4g=")</f>
        <v>#VALUE!</v>
      </c>
      <c r="EH1" t="e">
        <f>AND('Heating and Concentration'!C12,"AAAAAH/7d4k=")</f>
        <v>#VALUE!</v>
      </c>
      <c r="EI1" t="e">
        <f>AND('Heating and Concentration'!D12,"AAAAAH/7d4o=")</f>
        <v>#VALUE!</v>
      </c>
      <c r="EJ1" t="e">
        <f>AND('Heating and Concentration'!E12,"AAAAAH/7d4s=")</f>
        <v>#VALUE!</v>
      </c>
      <c r="EK1" t="e">
        <f>AND('Heating and Concentration'!F12,"AAAAAH/7d4w=")</f>
        <v>#VALUE!</v>
      </c>
      <c r="EL1" t="e">
        <f>AND('Heating and Concentration'!G12,"AAAAAH/7d40=")</f>
        <v>#VALUE!</v>
      </c>
      <c r="EM1" t="e">
        <f>AND('Heating and Concentration'!H12,"AAAAAH/7d44=")</f>
        <v>#VALUE!</v>
      </c>
      <c r="EN1" t="e">
        <f>AND('Heating and Concentration'!I12,"AAAAAH/7d48=")</f>
        <v>#VALUE!</v>
      </c>
      <c r="EO1" t="e">
        <f>AND('Heating and Concentration'!J12,"AAAAAH/7d5A=")</f>
        <v>#VALUE!</v>
      </c>
      <c r="EP1" t="e">
        <f>AND('Heating and Concentration'!K12,"AAAAAH/7d5E=")</f>
        <v>#VALUE!</v>
      </c>
      <c r="EQ1" t="e">
        <f>AND('Heating and Concentration'!L12,"AAAAAH/7d5I=")</f>
        <v>#VALUE!</v>
      </c>
      <c r="ER1">
        <f>IF('Heating and Concentration'!13:13,"AAAAAH/7d5M=",0)</f>
        <v>0</v>
      </c>
      <c r="ES1" t="e">
        <f>AND('Heating and Concentration'!B13,"AAAAAH/7d5Q=")</f>
        <v>#VALUE!</v>
      </c>
      <c r="ET1" t="e">
        <f>AND('Heating and Concentration'!C13,"AAAAAH/7d5U=")</f>
        <v>#VALUE!</v>
      </c>
      <c r="EU1" t="e">
        <f>AND('Heating and Concentration'!D13,"AAAAAH/7d5Y=")</f>
        <v>#VALUE!</v>
      </c>
      <c r="EV1" t="e">
        <f>AND('Heating and Concentration'!E13,"AAAAAH/7d5c=")</f>
        <v>#VALUE!</v>
      </c>
      <c r="EW1" t="e">
        <f>AND('Heating and Concentration'!F13,"AAAAAH/7d5g=")</f>
        <v>#VALUE!</v>
      </c>
      <c r="EX1" t="e">
        <f>AND('Heating and Concentration'!G13,"AAAAAH/7d5k=")</f>
        <v>#VALUE!</v>
      </c>
      <c r="EY1" t="e">
        <f>AND('Heating and Concentration'!H13,"AAAAAH/7d5o=")</f>
        <v>#VALUE!</v>
      </c>
      <c r="EZ1" t="e">
        <f>AND('Heating and Concentration'!I13,"AAAAAH/7d5s=")</f>
        <v>#VALUE!</v>
      </c>
      <c r="FA1" t="e">
        <f>AND('Heating and Concentration'!J13,"AAAAAH/7d5w=")</f>
        <v>#VALUE!</v>
      </c>
      <c r="FB1" t="e">
        <f>AND('Heating and Concentration'!K13,"AAAAAH/7d50=")</f>
        <v>#VALUE!</v>
      </c>
      <c r="FC1" t="e">
        <f>AND('Heating and Concentration'!L13,"AAAAAH/7d54=")</f>
        <v>#VALUE!</v>
      </c>
      <c r="FD1">
        <f>IF('Heating and Concentration'!14:14,"AAAAAH/7d58=",0)</f>
        <v>0</v>
      </c>
      <c r="FE1" t="e">
        <f>AND('Heating and Concentration'!B14,"AAAAAH/7d6A=")</f>
        <v>#VALUE!</v>
      </c>
      <c r="FF1" t="e">
        <f>AND('Heating and Concentration'!C14,"AAAAAH/7d6E=")</f>
        <v>#VALUE!</v>
      </c>
      <c r="FG1" t="e">
        <f>AND('Heating and Concentration'!D14,"AAAAAH/7d6I=")</f>
        <v>#VALUE!</v>
      </c>
      <c r="FH1" t="e">
        <f>AND('Heating and Concentration'!E14,"AAAAAH/7d6M=")</f>
        <v>#VALUE!</v>
      </c>
      <c r="FI1" t="e">
        <f>AND('Heating and Concentration'!F14,"AAAAAH/7d6Q=")</f>
        <v>#VALUE!</v>
      </c>
      <c r="FJ1" t="e">
        <f>AND('Heating and Concentration'!G14,"AAAAAH/7d6U=")</f>
        <v>#VALUE!</v>
      </c>
      <c r="FK1" t="e">
        <f>AND('Heating and Concentration'!H14,"AAAAAH/7d6Y=")</f>
        <v>#VALUE!</v>
      </c>
      <c r="FL1" t="e">
        <f>AND('Heating and Concentration'!I14,"AAAAAH/7d6c=")</f>
        <v>#VALUE!</v>
      </c>
      <c r="FM1" t="e">
        <f>AND('Heating and Concentration'!J14,"AAAAAH/7d6g=")</f>
        <v>#VALUE!</v>
      </c>
      <c r="FN1" t="e">
        <f>AND('Heating and Concentration'!K14,"AAAAAH/7d6k=")</f>
        <v>#VALUE!</v>
      </c>
      <c r="FO1" t="e">
        <f>AND('Heating and Concentration'!L14,"AAAAAH/7d6o=")</f>
        <v>#VALUE!</v>
      </c>
      <c r="FP1">
        <f>IF('Heating and Concentration'!15:15,"AAAAAH/7d6s=",0)</f>
        <v>0</v>
      </c>
      <c r="FQ1" t="e">
        <f>AND('Heating and Concentration'!B15,"AAAAAH/7d6w=")</f>
        <v>#VALUE!</v>
      </c>
      <c r="FR1" t="e">
        <f>AND('Heating and Concentration'!C15,"AAAAAH/7d60=")</f>
        <v>#VALUE!</v>
      </c>
      <c r="FS1" t="e">
        <f>AND('Heating and Concentration'!D15,"AAAAAH/7d64=")</f>
        <v>#VALUE!</v>
      </c>
      <c r="FT1" t="e">
        <f>AND('Heating and Concentration'!E15,"AAAAAH/7d68=")</f>
        <v>#VALUE!</v>
      </c>
      <c r="FU1" t="e">
        <f>AND('Heating and Concentration'!F15,"AAAAAH/7d7A=")</f>
        <v>#VALUE!</v>
      </c>
      <c r="FV1" t="e">
        <f>AND('Heating and Concentration'!G15,"AAAAAH/7d7E=")</f>
        <v>#VALUE!</v>
      </c>
      <c r="FW1" t="e">
        <f>AND('Heating and Concentration'!H15,"AAAAAH/7d7I=")</f>
        <v>#VALUE!</v>
      </c>
      <c r="FX1" t="e">
        <f>AND('Heating and Concentration'!I15,"AAAAAH/7d7M=")</f>
        <v>#VALUE!</v>
      </c>
      <c r="FY1" t="e">
        <f>AND('Heating and Concentration'!J15,"AAAAAH/7d7Q=")</f>
        <v>#VALUE!</v>
      </c>
      <c r="FZ1" t="e">
        <f>AND('Heating and Concentration'!K15,"AAAAAH/7d7U=")</f>
        <v>#VALUE!</v>
      </c>
      <c r="GA1" t="e">
        <f>AND('Heating and Concentration'!L15,"AAAAAH/7d7Y=")</f>
        <v>#VALUE!</v>
      </c>
      <c r="GB1">
        <f>IF('Heating and Concentration'!16:16,"AAAAAH/7d7c=",0)</f>
        <v>0</v>
      </c>
      <c r="GC1" t="e">
        <f>AND('Heating and Concentration'!B16,"AAAAAH/7d7g=")</f>
        <v>#VALUE!</v>
      </c>
      <c r="GD1" t="e">
        <f>AND('Heating and Concentration'!C16,"AAAAAH/7d7k=")</f>
        <v>#VALUE!</v>
      </c>
      <c r="GE1" t="e">
        <f>AND('Heating and Concentration'!D16,"AAAAAH/7d7o=")</f>
        <v>#VALUE!</v>
      </c>
      <c r="GF1" t="e">
        <f>AND('Heating and Concentration'!E16,"AAAAAH/7d7s=")</f>
        <v>#VALUE!</v>
      </c>
      <c r="GG1" t="e">
        <f>AND('Heating and Concentration'!F16,"AAAAAH/7d7w=")</f>
        <v>#VALUE!</v>
      </c>
      <c r="GH1" t="e">
        <f>AND('Heating and Concentration'!G16,"AAAAAH/7d70=")</f>
        <v>#VALUE!</v>
      </c>
      <c r="GI1" t="e">
        <f>AND('Heating and Concentration'!H16,"AAAAAH/7d74=")</f>
        <v>#VALUE!</v>
      </c>
      <c r="GJ1" t="e">
        <f>AND('Heating and Concentration'!I16,"AAAAAH/7d78=")</f>
        <v>#VALUE!</v>
      </c>
      <c r="GK1" t="e">
        <f>AND('Heating and Concentration'!J16,"AAAAAH/7d8A=")</f>
        <v>#VALUE!</v>
      </c>
      <c r="GL1" t="e">
        <f>AND('Heating and Concentration'!K16,"AAAAAH/7d8E=")</f>
        <v>#VALUE!</v>
      </c>
      <c r="GM1" t="e">
        <f>AND('Heating and Concentration'!L16,"AAAAAH/7d8I=")</f>
        <v>#VALUE!</v>
      </c>
      <c r="GN1">
        <f>IF('Heating and Concentration'!17:17,"AAAAAH/7d8M=",0)</f>
        <v>0</v>
      </c>
      <c r="GO1" t="e">
        <f>AND('Heating and Concentration'!B17,"AAAAAH/7d8Q=")</f>
        <v>#VALUE!</v>
      </c>
      <c r="GP1" t="e">
        <f>AND('Heating and Concentration'!C17,"AAAAAH/7d8U=")</f>
        <v>#VALUE!</v>
      </c>
      <c r="GQ1" t="e">
        <f>AND('Heating and Concentration'!D17,"AAAAAH/7d8Y=")</f>
        <v>#VALUE!</v>
      </c>
      <c r="GR1" t="e">
        <f>AND('Heating and Concentration'!E17,"AAAAAH/7d8c=")</f>
        <v>#VALUE!</v>
      </c>
      <c r="GS1" t="e">
        <f>AND('Heating and Concentration'!F17,"AAAAAH/7d8g=")</f>
        <v>#VALUE!</v>
      </c>
      <c r="GT1" t="e">
        <f>AND('Heating and Concentration'!G17,"AAAAAH/7d8k=")</f>
        <v>#VALUE!</v>
      </c>
      <c r="GU1" t="e">
        <f>AND('Heating and Concentration'!H17,"AAAAAH/7d8o=")</f>
        <v>#VALUE!</v>
      </c>
      <c r="GV1" t="e">
        <f>AND('Heating and Concentration'!I17,"AAAAAH/7d8s=")</f>
        <v>#VALUE!</v>
      </c>
      <c r="GW1" t="e">
        <f>AND('Heating and Concentration'!J17,"AAAAAH/7d8w=")</f>
        <v>#VALUE!</v>
      </c>
      <c r="GX1" t="e">
        <f>AND('Heating and Concentration'!K17,"AAAAAH/7d80=")</f>
        <v>#VALUE!</v>
      </c>
      <c r="GY1" t="e">
        <f>AND('Heating and Concentration'!L17,"AAAAAH/7d84=")</f>
        <v>#VALUE!</v>
      </c>
      <c r="GZ1">
        <f>IF('Heating and Concentration'!18:18,"AAAAAH/7d88=",0)</f>
        <v>0</v>
      </c>
      <c r="HA1" t="e">
        <f>AND('Heating and Concentration'!B18,"AAAAAH/7d9A=")</f>
        <v>#VALUE!</v>
      </c>
      <c r="HB1" t="e">
        <f>AND('Heating and Concentration'!C18,"AAAAAH/7d9E=")</f>
        <v>#VALUE!</v>
      </c>
      <c r="HC1" t="e">
        <f>AND('Heating and Concentration'!D18,"AAAAAH/7d9I=")</f>
        <v>#VALUE!</v>
      </c>
      <c r="HD1" t="e">
        <f>AND('Heating and Concentration'!E18,"AAAAAH/7d9M=")</f>
        <v>#VALUE!</v>
      </c>
      <c r="HE1" t="e">
        <f>AND('Heating and Concentration'!F18,"AAAAAH/7d9Q=")</f>
        <v>#VALUE!</v>
      </c>
      <c r="HF1" t="e">
        <f>AND('Heating and Concentration'!G18,"AAAAAH/7d9U=")</f>
        <v>#VALUE!</v>
      </c>
      <c r="HG1" t="e">
        <f>AND('Heating and Concentration'!H18,"AAAAAH/7d9Y=")</f>
        <v>#VALUE!</v>
      </c>
      <c r="HH1" t="e">
        <f>AND('Heating and Concentration'!I18,"AAAAAH/7d9c=")</f>
        <v>#VALUE!</v>
      </c>
      <c r="HI1" t="e">
        <f>AND('Heating and Concentration'!J18,"AAAAAH/7d9g=")</f>
        <v>#VALUE!</v>
      </c>
      <c r="HJ1" t="e">
        <f>AND('Heating and Concentration'!K18,"AAAAAH/7d9k=")</f>
        <v>#VALUE!</v>
      </c>
      <c r="HK1" t="e">
        <f>AND('Heating and Concentration'!L18,"AAAAAH/7d9o=")</f>
        <v>#VALUE!</v>
      </c>
      <c r="HL1">
        <f>IF('Heating and Concentration'!19:19,"AAAAAH/7d9s=",0)</f>
        <v>0</v>
      </c>
      <c r="HM1" t="e">
        <f>AND('Heating and Concentration'!B19,"AAAAAH/7d9w=")</f>
        <v>#VALUE!</v>
      </c>
      <c r="HN1" t="e">
        <f>AND('Heating and Concentration'!C19,"AAAAAH/7d90=")</f>
        <v>#VALUE!</v>
      </c>
      <c r="HO1" t="e">
        <f>AND('Heating and Concentration'!D19,"AAAAAH/7d94=")</f>
        <v>#VALUE!</v>
      </c>
      <c r="HP1" t="e">
        <f>AND('Heating and Concentration'!E19,"AAAAAH/7d98=")</f>
        <v>#VALUE!</v>
      </c>
      <c r="HQ1" t="e">
        <f>AND('Heating and Concentration'!F19,"AAAAAH/7d+A=")</f>
        <v>#VALUE!</v>
      </c>
      <c r="HR1" t="e">
        <f>AND('Heating and Concentration'!G19,"AAAAAH/7d+E=")</f>
        <v>#VALUE!</v>
      </c>
      <c r="HS1" t="e">
        <f>AND('Heating and Concentration'!H19,"AAAAAH/7d+I=")</f>
        <v>#VALUE!</v>
      </c>
      <c r="HT1" t="e">
        <f>AND('Heating and Concentration'!I19,"AAAAAH/7d+M=")</f>
        <v>#VALUE!</v>
      </c>
      <c r="HU1" t="e">
        <f>AND('Heating and Concentration'!J19,"AAAAAH/7d+Q=")</f>
        <v>#VALUE!</v>
      </c>
      <c r="HV1" t="e">
        <f>AND('Heating and Concentration'!K19,"AAAAAH/7d+U=")</f>
        <v>#VALUE!</v>
      </c>
      <c r="HW1" t="e">
        <f>AND('Heating and Concentration'!L19,"AAAAAH/7d+Y=")</f>
        <v>#VALUE!</v>
      </c>
      <c r="HX1">
        <f>IF('Heating and Concentration'!20:20,"AAAAAH/7d+c=",0)</f>
        <v>0</v>
      </c>
      <c r="HY1" t="e">
        <f>AND('Heating and Concentration'!B20,"AAAAAH/7d+g=")</f>
        <v>#VALUE!</v>
      </c>
      <c r="HZ1" t="e">
        <f>AND('Heating and Concentration'!C20,"AAAAAH/7d+k=")</f>
        <v>#VALUE!</v>
      </c>
      <c r="IA1" t="e">
        <f>AND('Heating and Concentration'!D20,"AAAAAH/7d+o=")</f>
        <v>#VALUE!</v>
      </c>
      <c r="IB1" t="e">
        <f>AND('Heating and Concentration'!E20,"AAAAAH/7d+s=")</f>
        <v>#VALUE!</v>
      </c>
      <c r="IC1" t="e">
        <f>AND('Heating and Concentration'!F20,"AAAAAH/7d+w=")</f>
        <v>#VALUE!</v>
      </c>
      <c r="ID1" t="e">
        <f>AND('Heating and Concentration'!G20,"AAAAAH/7d+0=")</f>
        <v>#VALUE!</v>
      </c>
      <c r="IE1" t="e">
        <f>AND('Heating and Concentration'!H20,"AAAAAH/7d+4=")</f>
        <v>#VALUE!</v>
      </c>
      <c r="IF1" t="e">
        <f>AND('Heating and Concentration'!I20,"AAAAAH/7d+8=")</f>
        <v>#VALUE!</v>
      </c>
      <c r="IG1" t="e">
        <f>AND('Heating and Concentration'!J20,"AAAAAH/7d/A=")</f>
        <v>#VALUE!</v>
      </c>
      <c r="IH1" t="e">
        <f>AND('Heating and Concentration'!K20,"AAAAAH/7d/E=")</f>
        <v>#VALUE!</v>
      </c>
      <c r="II1" t="e">
        <f>AND('Heating and Concentration'!L20,"AAAAAH/7d/I=")</f>
        <v>#VALUE!</v>
      </c>
      <c r="IJ1">
        <f>IF('Heating and Concentration'!21:21,"AAAAAH/7d/M=",0)</f>
        <v>0</v>
      </c>
      <c r="IK1" t="e">
        <f>AND('Heating and Concentration'!B21,"AAAAAH/7d/Q=")</f>
        <v>#VALUE!</v>
      </c>
      <c r="IL1" t="e">
        <f>AND('Heating and Concentration'!C21,"AAAAAH/7d/U=")</f>
        <v>#VALUE!</v>
      </c>
      <c r="IM1" t="e">
        <f>AND('Heating and Concentration'!D21,"AAAAAH/7d/Y=")</f>
        <v>#VALUE!</v>
      </c>
      <c r="IN1" t="e">
        <f>AND('Heating and Concentration'!E21,"AAAAAH/7d/c=")</f>
        <v>#VALUE!</v>
      </c>
      <c r="IO1" t="e">
        <f>AND('Heating and Concentration'!F21,"AAAAAH/7d/g=")</f>
        <v>#VALUE!</v>
      </c>
      <c r="IP1" t="e">
        <f>AND('Heating and Concentration'!G21,"AAAAAH/7d/k=")</f>
        <v>#VALUE!</v>
      </c>
      <c r="IQ1" t="e">
        <f>AND('Heating and Concentration'!H21,"AAAAAH/7d/o=")</f>
        <v>#VALUE!</v>
      </c>
      <c r="IR1" t="e">
        <f>AND('Heating and Concentration'!I21,"AAAAAH/7d/s=")</f>
        <v>#VALUE!</v>
      </c>
      <c r="IS1" t="e">
        <f>AND('Heating and Concentration'!J21,"AAAAAH/7d/w=")</f>
        <v>#VALUE!</v>
      </c>
      <c r="IT1" t="e">
        <f>AND('Heating and Concentration'!K21,"AAAAAH/7d/0=")</f>
        <v>#VALUE!</v>
      </c>
      <c r="IU1" t="e">
        <f>AND('Heating and Concentration'!L21,"AAAAAH/7d/4=")</f>
        <v>#VALUE!</v>
      </c>
      <c r="IV1">
        <f>IF('Heating and Concentration'!22:22,"AAAAAH/7d/8=",0)</f>
        <v>0</v>
      </c>
    </row>
    <row r="2" spans="1:256">
      <c r="A2" t="e">
        <f>AND('Heating and Concentration'!B22,"AAAAAH7/XwA=")</f>
        <v>#VALUE!</v>
      </c>
      <c r="B2" t="e">
        <f>AND('Heating and Concentration'!C22,"AAAAAH7/XwE=")</f>
        <v>#VALUE!</v>
      </c>
      <c r="C2" t="e">
        <f>AND('Heating and Concentration'!D22,"AAAAAH7/XwI=")</f>
        <v>#VALUE!</v>
      </c>
      <c r="D2" t="e">
        <f>AND('Heating and Concentration'!E22,"AAAAAH7/XwM=")</f>
        <v>#VALUE!</v>
      </c>
      <c r="E2" t="e">
        <f>AND('Heating and Concentration'!F22,"AAAAAH7/XwQ=")</f>
        <v>#VALUE!</v>
      </c>
      <c r="F2" t="e">
        <f>AND('Heating and Concentration'!G22,"AAAAAH7/XwU=")</f>
        <v>#VALUE!</v>
      </c>
      <c r="G2" t="e">
        <f>AND('Heating and Concentration'!H22,"AAAAAH7/XwY=")</f>
        <v>#VALUE!</v>
      </c>
      <c r="H2" t="e">
        <f>AND('Heating and Concentration'!I22,"AAAAAH7/Xwc=")</f>
        <v>#VALUE!</v>
      </c>
      <c r="I2" t="e">
        <f>AND('Heating and Concentration'!J22,"AAAAAH7/Xwg=")</f>
        <v>#VALUE!</v>
      </c>
      <c r="J2" t="e">
        <f>AND('Heating and Concentration'!K22,"AAAAAH7/Xwk=")</f>
        <v>#VALUE!</v>
      </c>
      <c r="K2" t="e">
        <f>AND('Heating and Concentration'!L22,"AAAAAH7/Xwo=")</f>
        <v>#VALUE!</v>
      </c>
      <c r="L2">
        <f>IF('Heating and Concentration'!23:23,"AAAAAH7/Xws=",0)</f>
        <v>0</v>
      </c>
      <c r="M2" t="e">
        <f>AND('Heating and Concentration'!B23,"AAAAAH7/Xww=")</f>
        <v>#VALUE!</v>
      </c>
      <c r="N2" t="e">
        <f>AND('Heating and Concentration'!C23,"AAAAAH7/Xw0=")</f>
        <v>#VALUE!</v>
      </c>
      <c r="O2" t="e">
        <f>AND('Heating and Concentration'!D23,"AAAAAH7/Xw4=")</f>
        <v>#VALUE!</v>
      </c>
      <c r="P2" t="e">
        <f>AND('Heating and Concentration'!E23,"AAAAAH7/Xw8=")</f>
        <v>#VALUE!</v>
      </c>
      <c r="Q2" t="e">
        <f>AND('Heating and Concentration'!F23,"AAAAAH7/XxA=")</f>
        <v>#VALUE!</v>
      </c>
      <c r="R2" t="e">
        <f>AND('Heating and Concentration'!G23,"AAAAAH7/XxE=")</f>
        <v>#VALUE!</v>
      </c>
      <c r="S2" t="e">
        <f>AND('Heating and Concentration'!H23,"AAAAAH7/XxI=")</f>
        <v>#VALUE!</v>
      </c>
      <c r="T2" t="e">
        <f>AND('Heating and Concentration'!I23,"AAAAAH7/XxM=")</f>
        <v>#VALUE!</v>
      </c>
      <c r="U2" t="e">
        <f>AND('Heating and Concentration'!J23,"AAAAAH7/XxQ=")</f>
        <v>#VALUE!</v>
      </c>
      <c r="V2" t="e">
        <f>AND('Heating and Concentration'!K23,"AAAAAH7/XxU=")</f>
        <v>#VALUE!</v>
      </c>
      <c r="W2" t="e">
        <f>AND('Heating and Concentration'!L23,"AAAAAH7/XxY=")</f>
        <v>#VALUE!</v>
      </c>
      <c r="X2">
        <f>IF('Heating and Concentration'!24:24,"AAAAAH7/Xxc=",0)</f>
        <v>0</v>
      </c>
      <c r="Y2" t="e">
        <f>AND('Heating and Concentration'!B24,"AAAAAH7/Xxg=")</f>
        <v>#VALUE!</v>
      </c>
      <c r="Z2" t="e">
        <f>AND('Heating and Concentration'!C24,"AAAAAH7/Xxk=")</f>
        <v>#VALUE!</v>
      </c>
      <c r="AA2" t="e">
        <f>AND('Heating and Concentration'!D24,"AAAAAH7/Xxo=")</f>
        <v>#VALUE!</v>
      </c>
      <c r="AB2" t="e">
        <f>AND('Heating and Concentration'!E24,"AAAAAH7/Xxs=")</f>
        <v>#VALUE!</v>
      </c>
      <c r="AC2" t="e">
        <f>AND('Heating and Concentration'!F24,"AAAAAH7/Xxw=")</f>
        <v>#VALUE!</v>
      </c>
      <c r="AD2" t="e">
        <f>AND('Heating and Concentration'!G24,"AAAAAH7/Xx0=")</f>
        <v>#VALUE!</v>
      </c>
      <c r="AE2" t="e">
        <f>AND('Heating and Concentration'!H24,"AAAAAH7/Xx4=")</f>
        <v>#VALUE!</v>
      </c>
      <c r="AF2" t="e">
        <f>AND('Heating and Concentration'!I24,"AAAAAH7/Xx8=")</f>
        <v>#VALUE!</v>
      </c>
      <c r="AG2" t="e">
        <f>AND('Heating and Concentration'!J24,"AAAAAH7/XyA=")</f>
        <v>#VALUE!</v>
      </c>
      <c r="AH2" t="e">
        <f>AND('Heating and Concentration'!K24,"AAAAAH7/XyE=")</f>
        <v>#VALUE!</v>
      </c>
      <c r="AI2" t="e">
        <f>AND('Heating and Concentration'!L24,"AAAAAH7/XyI=")</f>
        <v>#VALUE!</v>
      </c>
      <c r="AJ2">
        <f>IF('Heating and Concentration'!25:25,"AAAAAH7/XyM=",0)</f>
        <v>0</v>
      </c>
      <c r="AK2" t="e">
        <f>AND('Heating and Concentration'!B25,"AAAAAH7/XyQ=")</f>
        <v>#VALUE!</v>
      </c>
      <c r="AL2" t="e">
        <f>AND('Heating and Concentration'!C25,"AAAAAH7/XyU=")</f>
        <v>#VALUE!</v>
      </c>
      <c r="AM2" t="e">
        <f>AND('Heating and Concentration'!D25,"AAAAAH7/XyY=")</f>
        <v>#VALUE!</v>
      </c>
      <c r="AN2" t="e">
        <f>AND('Heating and Concentration'!E25,"AAAAAH7/Xyc=")</f>
        <v>#VALUE!</v>
      </c>
      <c r="AO2" t="e">
        <f>AND('Heating and Concentration'!F25,"AAAAAH7/Xyg=")</f>
        <v>#VALUE!</v>
      </c>
      <c r="AP2" t="e">
        <f>AND('Heating and Concentration'!G25,"AAAAAH7/Xyk=")</f>
        <v>#VALUE!</v>
      </c>
      <c r="AQ2" t="e">
        <f>AND('Heating and Concentration'!H25,"AAAAAH7/Xyo=")</f>
        <v>#VALUE!</v>
      </c>
      <c r="AR2" t="e">
        <f>AND('Heating and Concentration'!I25,"AAAAAH7/Xys=")</f>
        <v>#VALUE!</v>
      </c>
      <c r="AS2" t="e">
        <f>AND('Heating and Concentration'!J25,"AAAAAH7/Xyw=")</f>
        <v>#VALUE!</v>
      </c>
      <c r="AT2" t="e">
        <f>AND('Heating and Concentration'!K25,"AAAAAH7/Xy0=")</f>
        <v>#VALUE!</v>
      </c>
      <c r="AU2" t="e">
        <f>AND('Heating and Concentration'!L25,"AAAAAH7/Xy4=")</f>
        <v>#VALUE!</v>
      </c>
      <c r="AV2">
        <f>IF('Heating and Concentration'!26:26,"AAAAAH7/Xy8=",0)</f>
        <v>0</v>
      </c>
      <c r="AW2" t="e">
        <f>AND('Heating and Concentration'!B26,"AAAAAH7/XzA=")</f>
        <v>#VALUE!</v>
      </c>
      <c r="AX2" t="e">
        <f>AND('Heating and Concentration'!C26,"AAAAAH7/XzE=")</f>
        <v>#VALUE!</v>
      </c>
      <c r="AY2" t="e">
        <f>AND('Heating and Concentration'!D26,"AAAAAH7/XzI=")</f>
        <v>#VALUE!</v>
      </c>
      <c r="AZ2" t="e">
        <f>AND('Heating and Concentration'!E26,"AAAAAH7/XzM=")</f>
        <v>#VALUE!</v>
      </c>
      <c r="BA2" t="e">
        <f>AND('Heating and Concentration'!F26,"AAAAAH7/XzQ=")</f>
        <v>#VALUE!</v>
      </c>
      <c r="BB2" t="e">
        <f>AND('Heating and Concentration'!G26,"AAAAAH7/XzU=")</f>
        <v>#VALUE!</v>
      </c>
      <c r="BC2" t="e">
        <f>AND('Heating and Concentration'!H26,"AAAAAH7/XzY=")</f>
        <v>#VALUE!</v>
      </c>
      <c r="BD2" t="e">
        <f>AND('Heating and Concentration'!I26,"AAAAAH7/Xzc=")</f>
        <v>#VALUE!</v>
      </c>
      <c r="BE2" t="e">
        <f>AND('Heating and Concentration'!J26,"AAAAAH7/Xzg=")</f>
        <v>#VALUE!</v>
      </c>
      <c r="BF2" t="e">
        <f>AND('Heating and Concentration'!K26,"AAAAAH7/Xzk=")</f>
        <v>#VALUE!</v>
      </c>
      <c r="BG2" t="e">
        <f>AND('Heating and Concentration'!L26,"AAAAAH7/Xzo=")</f>
        <v>#VALUE!</v>
      </c>
      <c r="BH2">
        <f>IF('Heating and Concentration'!27:27,"AAAAAH7/Xzs=",0)</f>
        <v>0</v>
      </c>
      <c r="BI2" t="e">
        <f>AND('Heating and Concentration'!B27,"AAAAAH7/Xzw=")</f>
        <v>#VALUE!</v>
      </c>
      <c r="BJ2" t="e">
        <f>AND('Heating and Concentration'!C27,"AAAAAH7/Xz0=")</f>
        <v>#VALUE!</v>
      </c>
      <c r="BK2" t="e">
        <f>AND('Heating and Concentration'!D27,"AAAAAH7/Xz4=")</f>
        <v>#VALUE!</v>
      </c>
      <c r="BL2" t="e">
        <f>AND('Heating and Concentration'!E27,"AAAAAH7/Xz8=")</f>
        <v>#VALUE!</v>
      </c>
      <c r="BM2" t="e">
        <f>AND('Heating and Concentration'!F27,"AAAAAH7/X0A=")</f>
        <v>#VALUE!</v>
      </c>
      <c r="BN2" t="e">
        <f>AND('Heating and Concentration'!G27,"AAAAAH7/X0E=")</f>
        <v>#VALUE!</v>
      </c>
      <c r="BO2" t="e">
        <f>AND('Heating and Concentration'!H27,"AAAAAH7/X0I=")</f>
        <v>#VALUE!</v>
      </c>
      <c r="BP2" t="e">
        <f>AND('Heating and Concentration'!I27,"AAAAAH7/X0M=")</f>
        <v>#VALUE!</v>
      </c>
      <c r="BQ2" t="e">
        <f>AND('Heating and Concentration'!J27,"AAAAAH7/X0Q=")</f>
        <v>#VALUE!</v>
      </c>
      <c r="BR2" t="e">
        <f>AND('Heating and Concentration'!K27,"AAAAAH7/X0U=")</f>
        <v>#VALUE!</v>
      </c>
      <c r="BS2" t="e">
        <f>AND('Heating and Concentration'!L27,"AAAAAH7/X0Y=")</f>
        <v>#VALUE!</v>
      </c>
      <c r="BT2">
        <f>IF('Heating and Concentration'!28:28,"AAAAAH7/X0c=",0)</f>
        <v>0</v>
      </c>
      <c r="BU2" t="e">
        <f>AND('Heating and Concentration'!B28,"AAAAAH7/X0g=")</f>
        <v>#VALUE!</v>
      </c>
      <c r="BV2" t="e">
        <f>AND('Heating and Concentration'!C28,"AAAAAH7/X0k=")</f>
        <v>#VALUE!</v>
      </c>
      <c r="BW2" t="e">
        <f>AND('Heating and Concentration'!D28,"AAAAAH7/X0o=")</f>
        <v>#VALUE!</v>
      </c>
      <c r="BX2" t="e">
        <f>AND('Heating and Concentration'!E28,"AAAAAH7/X0s=")</f>
        <v>#VALUE!</v>
      </c>
      <c r="BY2" t="e">
        <f>AND('Heating and Concentration'!F28,"AAAAAH7/X0w=")</f>
        <v>#VALUE!</v>
      </c>
      <c r="BZ2" t="e">
        <f>AND('Heating and Concentration'!G28,"AAAAAH7/X00=")</f>
        <v>#VALUE!</v>
      </c>
      <c r="CA2" t="e">
        <f>AND('Heating and Concentration'!H28,"AAAAAH7/X04=")</f>
        <v>#VALUE!</v>
      </c>
      <c r="CB2" t="e">
        <f>AND('Heating and Concentration'!I28,"AAAAAH7/X08=")</f>
        <v>#VALUE!</v>
      </c>
      <c r="CC2" t="e">
        <f>AND('Heating and Concentration'!J28,"AAAAAH7/X1A=")</f>
        <v>#VALUE!</v>
      </c>
      <c r="CD2" t="e">
        <f>AND('Heating and Concentration'!K28,"AAAAAH7/X1E=")</f>
        <v>#VALUE!</v>
      </c>
      <c r="CE2" t="e">
        <f>AND('Heating and Concentration'!L28,"AAAAAH7/X1I=")</f>
        <v>#VALUE!</v>
      </c>
      <c r="CF2">
        <f>IF('Heating and Concentration'!29:29,"AAAAAH7/X1M=",0)</f>
        <v>0</v>
      </c>
      <c r="CG2" t="e">
        <f>AND('Heating and Concentration'!B29,"AAAAAH7/X1Q=")</f>
        <v>#VALUE!</v>
      </c>
      <c r="CH2" t="e">
        <f>AND('Heating and Concentration'!C29,"AAAAAH7/X1U=")</f>
        <v>#VALUE!</v>
      </c>
      <c r="CI2" t="e">
        <f>AND('Heating and Concentration'!D29,"AAAAAH7/X1Y=")</f>
        <v>#VALUE!</v>
      </c>
      <c r="CJ2" t="e">
        <f>AND('Heating and Concentration'!E29,"AAAAAH7/X1c=")</f>
        <v>#VALUE!</v>
      </c>
      <c r="CK2" t="e">
        <f>AND('Heating and Concentration'!F29,"AAAAAH7/X1g=")</f>
        <v>#VALUE!</v>
      </c>
      <c r="CL2" t="e">
        <f>AND('Heating and Concentration'!G29,"AAAAAH7/X1k=")</f>
        <v>#VALUE!</v>
      </c>
      <c r="CM2" t="e">
        <f>AND('Heating and Concentration'!H29,"AAAAAH7/X1o=")</f>
        <v>#VALUE!</v>
      </c>
      <c r="CN2" t="e">
        <f>AND('Heating and Concentration'!I29,"AAAAAH7/X1s=")</f>
        <v>#VALUE!</v>
      </c>
      <c r="CO2" t="e">
        <f>AND('Heating and Concentration'!J29,"AAAAAH7/X1w=")</f>
        <v>#VALUE!</v>
      </c>
      <c r="CP2" t="e">
        <f>AND('Heating and Concentration'!K29,"AAAAAH7/X10=")</f>
        <v>#VALUE!</v>
      </c>
      <c r="CQ2" t="e">
        <f>AND('Heating and Concentration'!L29,"AAAAAH7/X14=")</f>
        <v>#VALUE!</v>
      </c>
      <c r="CR2">
        <f>IF('Heating and Concentration'!30:30,"AAAAAH7/X18=",0)</f>
        <v>0</v>
      </c>
      <c r="CS2" t="e">
        <f>AND('Heating and Concentration'!B30,"AAAAAH7/X2A=")</f>
        <v>#VALUE!</v>
      </c>
      <c r="CT2" t="e">
        <f>AND('Heating and Concentration'!C30,"AAAAAH7/X2E=")</f>
        <v>#VALUE!</v>
      </c>
      <c r="CU2" t="e">
        <f>AND('Heating and Concentration'!D30,"AAAAAH7/X2I=")</f>
        <v>#VALUE!</v>
      </c>
      <c r="CV2" t="e">
        <f>AND('Heating and Concentration'!E30,"AAAAAH7/X2M=")</f>
        <v>#VALUE!</v>
      </c>
      <c r="CW2" t="e">
        <f>AND('Heating and Concentration'!F30,"AAAAAH7/X2Q=")</f>
        <v>#VALUE!</v>
      </c>
      <c r="CX2" t="e">
        <f>AND('Heating and Concentration'!G30,"AAAAAH7/X2U=")</f>
        <v>#VALUE!</v>
      </c>
      <c r="CY2" t="e">
        <f>AND('Heating and Concentration'!H30,"AAAAAH7/X2Y=")</f>
        <v>#VALUE!</v>
      </c>
      <c r="CZ2" t="e">
        <f>AND('Heating and Concentration'!I30,"AAAAAH7/X2c=")</f>
        <v>#VALUE!</v>
      </c>
      <c r="DA2" t="e">
        <f>AND('Heating and Concentration'!J30,"AAAAAH7/X2g=")</f>
        <v>#VALUE!</v>
      </c>
      <c r="DB2" t="e">
        <f>AND('Heating and Concentration'!K30,"AAAAAH7/X2k=")</f>
        <v>#VALUE!</v>
      </c>
      <c r="DC2" t="e">
        <f>AND('Heating and Concentration'!L30,"AAAAAH7/X2o=")</f>
        <v>#VALUE!</v>
      </c>
      <c r="DD2">
        <f>IF('Heating and Concentration'!31:31,"AAAAAH7/X2s=",0)</f>
        <v>0</v>
      </c>
      <c r="DE2" t="e">
        <f>AND('Heating and Concentration'!B31,"AAAAAH7/X2w=")</f>
        <v>#VALUE!</v>
      </c>
      <c r="DF2" t="e">
        <f>AND('Heating and Concentration'!C31,"AAAAAH7/X20=")</f>
        <v>#VALUE!</v>
      </c>
      <c r="DG2" t="e">
        <f>AND('Heating and Concentration'!D31,"AAAAAH7/X24=")</f>
        <v>#VALUE!</v>
      </c>
      <c r="DH2" t="e">
        <f>AND('Heating and Concentration'!E31,"AAAAAH7/X28=")</f>
        <v>#VALUE!</v>
      </c>
      <c r="DI2" t="e">
        <f>AND('Heating and Concentration'!F31,"AAAAAH7/X3A=")</f>
        <v>#VALUE!</v>
      </c>
      <c r="DJ2" t="e">
        <f>AND('Heating and Concentration'!G31,"AAAAAH7/X3E=")</f>
        <v>#VALUE!</v>
      </c>
      <c r="DK2" t="e">
        <f>AND('Heating and Concentration'!H31,"AAAAAH7/X3I=")</f>
        <v>#VALUE!</v>
      </c>
      <c r="DL2" t="e">
        <f>AND('Heating and Concentration'!I31,"AAAAAH7/X3M=")</f>
        <v>#VALUE!</v>
      </c>
      <c r="DM2" t="e">
        <f>AND('Heating and Concentration'!J31,"AAAAAH7/X3Q=")</f>
        <v>#VALUE!</v>
      </c>
      <c r="DN2" t="e">
        <f>AND('Heating and Concentration'!K31,"AAAAAH7/X3U=")</f>
        <v>#VALUE!</v>
      </c>
      <c r="DO2" t="e">
        <f>AND('Heating and Concentration'!L31,"AAAAAH7/X3Y=")</f>
        <v>#VALUE!</v>
      </c>
      <c r="DP2">
        <f>IF('Heating and Concentration'!32:32,"AAAAAH7/X3c=",0)</f>
        <v>0</v>
      </c>
      <c r="DQ2" t="e">
        <f>AND('Heating and Concentration'!B32,"AAAAAH7/X3g=")</f>
        <v>#VALUE!</v>
      </c>
      <c r="DR2" t="e">
        <f>AND('Heating and Concentration'!C32,"AAAAAH7/X3k=")</f>
        <v>#VALUE!</v>
      </c>
      <c r="DS2" t="e">
        <f>AND('Heating and Concentration'!D32,"AAAAAH7/X3o=")</f>
        <v>#VALUE!</v>
      </c>
      <c r="DT2" t="e">
        <f>AND('Heating and Concentration'!E32,"AAAAAH7/X3s=")</f>
        <v>#VALUE!</v>
      </c>
      <c r="DU2" t="e">
        <f>AND('Heating and Concentration'!F32,"AAAAAH7/X3w=")</f>
        <v>#VALUE!</v>
      </c>
      <c r="DV2" t="e">
        <f>AND('Heating and Concentration'!G32,"AAAAAH7/X30=")</f>
        <v>#VALUE!</v>
      </c>
      <c r="DW2" t="e">
        <f>AND('Heating and Concentration'!H32,"AAAAAH7/X34=")</f>
        <v>#VALUE!</v>
      </c>
      <c r="DX2" t="e">
        <f>AND('Heating and Concentration'!I32,"AAAAAH7/X38=")</f>
        <v>#VALUE!</v>
      </c>
      <c r="DY2" t="e">
        <f>AND('Heating and Concentration'!J32,"AAAAAH7/X4A=")</f>
        <v>#VALUE!</v>
      </c>
      <c r="DZ2" t="e">
        <f>AND('Heating and Concentration'!K32,"AAAAAH7/X4E=")</f>
        <v>#VALUE!</v>
      </c>
      <c r="EA2" t="e">
        <f>AND('Heating and Concentration'!L32,"AAAAAH7/X4I=")</f>
        <v>#VALUE!</v>
      </c>
      <c r="EB2">
        <f>IF('Heating and Concentration'!33:33,"AAAAAH7/X4M=",0)</f>
        <v>0</v>
      </c>
      <c r="EC2" t="e">
        <f>AND('Heating and Concentration'!B33,"AAAAAH7/X4Q=")</f>
        <v>#VALUE!</v>
      </c>
      <c r="ED2" t="e">
        <f>AND('Heating and Concentration'!C33,"AAAAAH7/X4U=")</f>
        <v>#VALUE!</v>
      </c>
      <c r="EE2" t="e">
        <f>AND('Heating and Concentration'!D33,"AAAAAH7/X4Y=")</f>
        <v>#VALUE!</v>
      </c>
      <c r="EF2" t="e">
        <f>AND('Heating and Concentration'!E33,"AAAAAH7/X4c=")</f>
        <v>#VALUE!</v>
      </c>
      <c r="EG2" t="e">
        <f>AND('Heating and Concentration'!F33,"AAAAAH7/X4g=")</f>
        <v>#VALUE!</v>
      </c>
      <c r="EH2" t="e">
        <f>AND('Heating and Concentration'!G33,"AAAAAH7/X4k=")</f>
        <v>#VALUE!</v>
      </c>
      <c r="EI2" t="e">
        <f>AND('Heating and Concentration'!H33,"AAAAAH7/X4o=")</f>
        <v>#VALUE!</v>
      </c>
      <c r="EJ2" t="e">
        <f>AND('Heating and Concentration'!I33,"AAAAAH7/X4s=")</f>
        <v>#VALUE!</v>
      </c>
      <c r="EK2" t="e">
        <f>AND('Heating and Concentration'!J33,"AAAAAH7/X4w=")</f>
        <v>#VALUE!</v>
      </c>
      <c r="EL2" t="e">
        <f>AND('Heating and Concentration'!K33,"AAAAAH7/X40=")</f>
        <v>#VALUE!</v>
      </c>
      <c r="EM2" t="e">
        <f>AND('Heating and Concentration'!L33,"AAAAAH7/X44=")</f>
        <v>#VALUE!</v>
      </c>
      <c r="EN2">
        <f>IF('Heating and Concentration'!34:34,"AAAAAH7/X48=",0)</f>
        <v>0</v>
      </c>
      <c r="EO2" t="e">
        <f>AND('Heating and Concentration'!B34,"AAAAAH7/X5A=")</f>
        <v>#VALUE!</v>
      </c>
      <c r="EP2" t="e">
        <f>AND('Heating and Concentration'!C34,"AAAAAH7/X5E=")</f>
        <v>#VALUE!</v>
      </c>
      <c r="EQ2" t="e">
        <f>AND('Heating and Concentration'!D34,"AAAAAH7/X5I=")</f>
        <v>#VALUE!</v>
      </c>
      <c r="ER2" t="e">
        <f>AND('Heating and Concentration'!E34,"AAAAAH7/X5M=")</f>
        <v>#VALUE!</v>
      </c>
      <c r="ES2" t="e">
        <f>AND('Heating and Concentration'!F34,"AAAAAH7/X5Q=")</f>
        <v>#VALUE!</v>
      </c>
      <c r="ET2" t="e">
        <f>AND('Heating and Concentration'!G34,"AAAAAH7/X5U=")</f>
        <v>#VALUE!</v>
      </c>
      <c r="EU2" t="e">
        <f>AND('Heating and Concentration'!H34,"AAAAAH7/X5Y=")</f>
        <v>#VALUE!</v>
      </c>
      <c r="EV2" t="e">
        <f>AND('Heating and Concentration'!I34,"AAAAAH7/X5c=")</f>
        <v>#VALUE!</v>
      </c>
      <c r="EW2" t="e">
        <f>AND('Heating and Concentration'!J34,"AAAAAH7/X5g=")</f>
        <v>#VALUE!</v>
      </c>
      <c r="EX2" t="e">
        <f>AND('Heating and Concentration'!K34,"AAAAAH7/X5k=")</f>
        <v>#VALUE!</v>
      </c>
      <c r="EY2" t="e">
        <f>AND('Heating and Concentration'!L34,"AAAAAH7/X5o=")</f>
        <v>#VALUE!</v>
      </c>
      <c r="EZ2">
        <f>IF('Heating and Concentration'!35:35,"AAAAAH7/X5s=",0)</f>
        <v>0</v>
      </c>
      <c r="FA2" t="e">
        <f>AND('Heating and Concentration'!B35,"AAAAAH7/X5w=")</f>
        <v>#VALUE!</v>
      </c>
      <c r="FB2" t="e">
        <f>AND('Heating and Concentration'!C35,"AAAAAH7/X50=")</f>
        <v>#VALUE!</v>
      </c>
      <c r="FC2" t="e">
        <f>AND('Heating and Concentration'!D35,"AAAAAH7/X54=")</f>
        <v>#VALUE!</v>
      </c>
      <c r="FD2" t="e">
        <f>AND('Heating and Concentration'!E35,"AAAAAH7/X58=")</f>
        <v>#VALUE!</v>
      </c>
      <c r="FE2" t="e">
        <f>AND('Heating and Concentration'!F35,"AAAAAH7/X6A=")</f>
        <v>#VALUE!</v>
      </c>
      <c r="FF2" t="e">
        <f>AND('Heating and Concentration'!G35,"AAAAAH7/X6E=")</f>
        <v>#VALUE!</v>
      </c>
      <c r="FG2" t="e">
        <f>AND('Heating and Concentration'!H35,"AAAAAH7/X6I=")</f>
        <v>#VALUE!</v>
      </c>
      <c r="FH2" t="e">
        <f>AND('Heating and Concentration'!I35,"AAAAAH7/X6M=")</f>
        <v>#VALUE!</v>
      </c>
      <c r="FI2" t="e">
        <f>AND('Heating and Concentration'!J35,"AAAAAH7/X6Q=")</f>
        <v>#VALUE!</v>
      </c>
      <c r="FJ2" t="e">
        <f>AND('Heating and Concentration'!K35,"AAAAAH7/X6U=")</f>
        <v>#VALUE!</v>
      </c>
      <c r="FK2" t="e">
        <f>AND('Heating and Concentration'!L35,"AAAAAH7/X6Y=")</f>
        <v>#VALUE!</v>
      </c>
      <c r="FL2">
        <f>IF('Heating and Concentration'!36:36,"AAAAAH7/X6c=",0)</f>
        <v>0</v>
      </c>
      <c r="FM2" t="e">
        <f>AND('Heating and Concentration'!B36,"AAAAAH7/X6g=")</f>
        <v>#VALUE!</v>
      </c>
      <c r="FN2" t="e">
        <f>AND('Heating and Concentration'!C36,"AAAAAH7/X6k=")</f>
        <v>#VALUE!</v>
      </c>
      <c r="FO2" t="e">
        <f>AND('Heating and Concentration'!D36,"AAAAAH7/X6o=")</f>
        <v>#VALUE!</v>
      </c>
      <c r="FP2" t="e">
        <f>AND('Heating and Concentration'!E36,"AAAAAH7/X6s=")</f>
        <v>#VALUE!</v>
      </c>
      <c r="FQ2" t="e">
        <f>AND('Heating and Concentration'!F36,"AAAAAH7/X6w=")</f>
        <v>#VALUE!</v>
      </c>
      <c r="FR2" t="e">
        <f>AND('Heating and Concentration'!G36,"AAAAAH7/X60=")</f>
        <v>#VALUE!</v>
      </c>
      <c r="FS2" t="e">
        <f>AND('Heating and Concentration'!H36,"AAAAAH7/X64=")</f>
        <v>#VALUE!</v>
      </c>
      <c r="FT2" t="e">
        <f>AND('Heating and Concentration'!I36,"AAAAAH7/X68=")</f>
        <v>#VALUE!</v>
      </c>
      <c r="FU2" t="e">
        <f>AND('Heating and Concentration'!J36,"AAAAAH7/X7A=")</f>
        <v>#VALUE!</v>
      </c>
      <c r="FV2" t="e">
        <f>AND('Heating and Concentration'!K36,"AAAAAH7/X7E=")</f>
        <v>#VALUE!</v>
      </c>
      <c r="FW2" t="e">
        <f>AND('Heating and Concentration'!L36,"AAAAAH7/X7I=")</f>
        <v>#VALUE!</v>
      </c>
      <c r="FX2">
        <f>IF('Heating and Concentration'!37:37,"AAAAAH7/X7M=",0)</f>
        <v>0</v>
      </c>
      <c r="FY2" t="e">
        <f>AND('Heating and Concentration'!B37,"AAAAAH7/X7Q=")</f>
        <v>#VALUE!</v>
      </c>
      <c r="FZ2" t="e">
        <f>AND('Heating and Concentration'!C37,"AAAAAH7/X7U=")</f>
        <v>#VALUE!</v>
      </c>
      <c r="GA2" t="e">
        <f>AND('Heating and Concentration'!D37,"AAAAAH7/X7Y=")</f>
        <v>#VALUE!</v>
      </c>
      <c r="GB2" t="e">
        <f>AND('Heating and Concentration'!E37,"AAAAAH7/X7c=")</f>
        <v>#VALUE!</v>
      </c>
      <c r="GC2" t="e">
        <f>AND('Heating and Concentration'!F37,"AAAAAH7/X7g=")</f>
        <v>#VALUE!</v>
      </c>
      <c r="GD2" t="e">
        <f>AND('Heating and Concentration'!G37,"AAAAAH7/X7k=")</f>
        <v>#VALUE!</v>
      </c>
      <c r="GE2" t="e">
        <f>AND('Heating and Concentration'!H37,"AAAAAH7/X7o=")</f>
        <v>#VALUE!</v>
      </c>
      <c r="GF2" t="e">
        <f>AND('Heating and Concentration'!I37,"AAAAAH7/X7s=")</f>
        <v>#VALUE!</v>
      </c>
      <c r="GG2" t="e">
        <f>AND('Heating and Concentration'!J37,"AAAAAH7/X7w=")</f>
        <v>#VALUE!</v>
      </c>
      <c r="GH2" t="e">
        <f>AND('Heating and Concentration'!K37,"AAAAAH7/X70=")</f>
        <v>#VALUE!</v>
      </c>
      <c r="GI2" t="e">
        <f>AND('Heating and Concentration'!L37,"AAAAAH7/X74=")</f>
        <v>#VALUE!</v>
      </c>
      <c r="GJ2">
        <f>IF('Heating and Concentration'!38:38,"AAAAAH7/X78=",0)</f>
        <v>0</v>
      </c>
      <c r="GK2">
        <f>IF('Heating and Concentration'!39:39,"AAAAAH7/X8A=",0)</f>
        <v>0</v>
      </c>
      <c r="GL2">
        <f>IF('Heating and Concentration'!40:40,"AAAAAH7/X8E=",0)</f>
        <v>0</v>
      </c>
      <c r="GM2">
        <f>IF('Heating and Concentration'!A:A,"AAAAAH7/X8I=",0)</f>
        <v>0</v>
      </c>
      <c r="GN2">
        <f>IF('Heating and Concentration'!B:B,"AAAAAH7/X8M=",0)</f>
        <v>0</v>
      </c>
      <c r="GO2">
        <f>IF('Heating and Concentration'!C:C,"AAAAAH7/X8Q=",0)</f>
        <v>0</v>
      </c>
      <c r="GP2">
        <f>IF('Heating and Concentration'!D:D,"AAAAAH7/X8U=",0)</f>
        <v>0</v>
      </c>
      <c r="GQ2">
        <f>IF('Heating and Concentration'!E:E,"AAAAAH7/X8Y=",0)</f>
        <v>0</v>
      </c>
      <c r="GR2">
        <f>IF('Heating and Concentration'!F:F,"AAAAAH7/X8c=",0)</f>
        <v>0</v>
      </c>
      <c r="GS2">
        <f>IF('Heating and Concentration'!G:G,"AAAAAH7/X8g=",0)</f>
        <v>0</v>
      </c>
      <c r="GT2" t="e">
        <f>IF('Heating and Concentration'!H:H,"AAAAAH7/X8k=",0)</f>
        <v>#VALUE!</v>
      </c>
      <c r="GU2">
        <f>IF('Heating and Concentration'!I:I,"AAAAAH7/X8o=",0)</f>
        <v>0</v>
      </c>
      <c r="GV2">
        <f>IF('Heating and Concentration'!J:J,"AAAAAH7/X8s=",0)</f>
        <v>0</v>
      </c>
      <c r="GW2">
        <f>IF('Heating and Concentration'!K:K,"AAAAAH7/X8w=",0)</f>
        <v>0</v>
      </c>
      <c r="GX2">
        <f>IF('Heating and Concentration'!L:L,"AAAAAH7/X80=",0)</f>
        <v>0</v>
      </c>
      <c r="GY2">
        <f>IF(Conversions!1:1,"AAAAAH7/X84=",0)</f>
        <v>0</v>
      </c>
      <c r="GZ2" t="e">
        <f>AND(Conversions!A1,"AAAAAH7/X88=")</f>
        <v>#VALUE!</v>
      </c>
      <c r="HA2" t="e">
        <f>AND(Conversions!B1,"AAAAAH7/X9A=")</f>
        <v>#VALUE!</v>
      </c>
      <c r="HB2" t="e">
        <f>AND(Conversions!C1,"AAAAAH7/X9E=")</f>
        <v>#VALUE!</v>
      </c>
      <c r="HC2" t="e">
        <f>AND(Conversions!D1,"AAAAAH7/X9I=")</f>
        <v>#VALUE!</v>
      </c>
      <c r="HD2" t="e">
        <f>AND(Conversions!E1,"AAAAAH7/X9M=")</f>
        <v>#VALUE!</v>
      </c>
      <c r="HE2" t="e">
        <f>AND(Conversions!F1,"AAAAAH7/X9Q=")</f>
        <v>#VALUE!</v>
      </c>
      <c r="HF2" t="e">
        <f>AND(Conversions!G1,"AAAAAH7/X9U=")</f>
        <v>#VALUE!</v>
      </c>
      <c r="HG2" t="e">
        <f>AND(Conversions!H1,"AAAAAH7/X9Y=")</f>
        <v>#VALUE!</v>
      </c>
      <c r="HH2" t="e">
        <f>AND(Conversions!I1,"AAAAAH7/X9c=")</f>
        <v>#VALUE!</v>
      </c>
      <c r="HI2" t="e">
        <f>AND(Conversions!J1,"AAAAAH7/X9g=")</f>
        <v>#VALUE!</v>
      </c>
      <c r="HJ2" t="e">
        <f>AND(Conversions!K1,"AAAAAH7/X9k=")</f>
        <v>#VALUE!</v>
      </c>
      <c r="HK2">
        <f>IF(Conversions!2:2,"AAAAAH7/X9o=",0)</f>
        <v>0</v>
      </c>
      <c r="HL2" t="e">
        <f>AND(Conversions!A2,"AAAAAH7/X9s=")</f>
        <v>#VALUE!</v>
      </c>
      <c r="HM2" t="e">
        <f>AND(Conversions!B2,"AAAAAH7/X9w=")</f>
        <v>#VALUE!</v>
      </c>
      <c r="HN2" t="e">
        <f>AND(Conversions!C2,"AAAAAH7/X90=")</f>
        <v>#VALUE!</v>
      </c>
      <c r="HO2" t="e">
        <f>AND(Conversions!D2,"AAAAAH7/X94=")</f>
        <v>#VALUE!</v>
      </c>
      <c r="HP2" t="e">
        <f>AND(Conversions!E2,"AAAAAH7/X98=")</f>
        <v>#VALUE!</v>
      </c>
      <c r="HQ2" t="e">
        <f>AND(Conversions!F2,"AAAAAH7/X+A=")</f>
        <v>#VALUE!</v>
      </c>
      <c r="HR2" t="e">
        <f>AND(Conversions!G2,"AAAAAH7/X+E=")</f>
        <v>#VALUE!</v>
      </c>
      <c r="HS2" t="e">
        <f>AND(Conversions!H2,"AAAAAH7/X+I=")</f>
        <v>#VALUE!</v>
      </c>
      <c r="HT2" t="e">
        <f>AND(Conversions!I2,"AAAAAH7/X+M=")</f>
        <v>#VALUE!</v>
      </c>
      <c r="HU2" t="e">
        <f>AND(Conversions!J2,"AAAAAH7/X+Q=")</f>
        <v>#VALUE!</v>
      </c>
      <c r="HV2" t="e">
        <f>AND(Conversions!K2,"AAAAAH7/X+U=")</f>
        <v>#VALUE!</v>
      </c>
      <c r="HW2">
        <f>IF(Conversions!3:3,"AAAAAH7/X+Y=",0)</f>
        <v>0</v>
      </c>
      <c r="HX2" t="e">
        <f>AND(Conversions!A3,"AAAAAH7/X+c=")</f>
        <v>#VALUE!</v>
      </c>
      <c r="HY2" t="e">
        <f>AND(Conversions!B3,"AAAAAH7/X+g=")</f>
        <v>#VALUE!</v>
      </c>
      <c r="HZ2" t="e">
        <f>AND(Conversions!C3,"AAAAAH7/X+k=")</f>
        <v>#VALUE!</v>
      </c>
      <c r="IA2" t="e">
        <f>AND(Conversions!D3,"AAAAAH7/X+o=")</f>
        <v>#VALUE!</v>
      </c>
      <c r="IB2" t="e">
        <f>AND(Conversions!E3,"AAAAAH7/X+s=")</f>
        <v>#VALUE!</v>
      </c>
      <c r="IC2" t="e">
        <f>AND(Conversions!F3,"AAAAAH7/X+w=")</f>
        <v>#VALUE!</v>
      </c>
      <c r="ID2" t="e">
        <f>AND(Conversions!G3,"AAAAAH7/X+0=")</f>
        <v>#VALUE!</v>
      </c>
      <c r="IE2" t="e">
        <f>AND(Conversions!H3,"AAAAAH7/X+4=")</f>
        <v>#VALUE!</v>
      </c>
      <c r="IF2" t="e">
        <f>AND(Conversions!I3,"AAAAAH7/X+8=")</f>
        <v>#VALUE!</v>
      </c>
      <c r="IG2" t="e">
        <f>AND(Conversions!J3,"AAAAAH7/X/A=")</f>
        <v>#VALUE!</v>
      </c>
      <c r="IH2" t="e">
        <f>AND(Conversions!K3,"AAAAAH7/X/E=")</f>
        <v>#VALUE!</v>
      </c>
      <c r="II2">
        <f>IF(Conversions!4:4,"AAAAAH7/X/I=",0)</f>
        <v>0</v>
      </c>
      <c r="IJ2" t="e">
        <f>AND(Conversions!A4,"AAAAAH7/X/M=")</f>
        <v>#VALUE!</v>
      </c>
      <c r="IK2" t="e">
        <f>AND(Conversions!B4,"AAAAAH7/X/Q=")</f>
        <v>#VALUE!</v>
      </c>
      <c r="IL2" t="e">
        <f>AND(Conversions!C4,"AAAAAH7/X/U=")</f>
        <v>#VALUE!</v>
      </c>
      <c r="IM2" t="e">
        <f>AND(Conversions!D4,"AAAAAH7/X/Y=")</f>
        <v>#VALUE!</v>
      </c>
      <c r="IN2" t="e">
        <f>AND(Conversions!E4,"AAAAAH7/X/c=")</f>
        <v>#VALUE!</v>
      </c>
      <c r="IO2" t="e">
        <f>AND(Conversions!F4,"AAAAAH7/X/g=")</f>
        <v>#VALUE!</v>
      </c>
      <c r="IP2" t="e">
        <f>AND(Conversions!G4,"AAAAAH7/X/k=")</f>
        <v>#VALUE!</v>
      </c>
      <c r="IQ2" t="e">
        <f>AND(Conversions!H4,"AAAAAH7/X/o=")</f>
        <v>#VALUE!</v>
      </c>
      <c r="IR2" t="e">
        <f>AND(Conversions!I4,"AAAAAH7/X/s=")</f>
        <v>#VALUE!</v>
      </c>
      <c r="IS2" t="e">
        <f>AND(Conversions!J4,"AAAAAH7/X/w=")</f>
        <v>#VALUE!</v>
      </c>
      <c r="IT2" t="e">
        <f>AND(Conversions!K4,"AAAAAH7/X/0=")</f>
        <v>#VALUE!</v>
      </c>
      <c r="IU2">
        <f>IF(Conversions!5:5,"AAAAAH7/X/4=",0)</f>
        <v>0</v>
      </c>
      <c r="IV2" t="e">
        <f>AND(Conversions!A5,"AAAAAH7/X/8=")</f>
        <v>#VALUE!</v>
      </c>
    </row>
    <row r="3" spans="1:256">
      <c r="A3" t="e">
        <f>AND(Conversions!B5,"AAAAAA59dQA=")</f>
        <v>#VALUE!</v>
      </c>
      <c r="B3" t="e">
        <f>AND(Conversions!C5,"AAAAAA59dQE=")</f>
        <v>#VALUE!</v>
      </c>
      <c r="C3" t="e">
        <f>AND(Conversions!D5,"AAAAAA59dQI=")</f>
        <v>#VALUE!</v>
      </c>
      <c r="D3" t="e">
        <f>AND(Conversions!E5,"AAAAAA59dQM=")</f>
        <v>#VALUE!</v>
      </c>
      <c r="E3" t="e">
        <f>AND(Conversions!F5,"AAAAAA59dQQ=")</f>
        <v>#VALUE!</v>
      </c>
      <c r="F3" t="e">
        <f>AND(Conversions!G5,"AAAAAA59dQU=")</f>
        <v>#VALUE!</v>
      </c>
      <c r="G3" t="e">
        <f>AND(Conversions!H5,"AAAAAA59dQY=")</f>
        <v>#VALUE!</v>
      </c>
      <c r="H3" t="e">
        <f>AND(Conversions!I5,"AAAAAA59dQc=")</f>
        <v>#VALUE!</v>
      </c>
      <c r="I3" t="e">
        <f>AND(Conversions!J5,"AAAAAA59dQg=")</f>
        <v>#VALUE!</v>
      </c>
      <c r="J3" t="e">
        <f>AND(Conversions!K5,"AAAAAA59dQk=")</f>
        <v>#VALUE!</v>
      </c>
      <c r="K3">
        <f>IF(Conversions!6:6,"AAAAAA59dQo=",0)</f>
        <v>0</v>
      </c>
      <c r="L3" t="e">
        <f>AND(Conversions!A6,"AAAAAA59dQs=")</f>
        <v>#VALUE!</v>
      </c>
      <c r="M3" t="e">
        <f>AND(Conversions!B6,"AAAAAA59dQw=")</f>
        <v>#VALUE!</v>
      </c>
      <c r="N3" t="e">
        <f>AND(Conversions!C6,"AAAAAA59dQ0=")</f>
        <v>#VALUE!</v>
      </c>
      <c r="O3" t="e">
        <f>AND(Conversions!D6,"AAAAAA59dQ4=")</f>
        <v>#VALUE!</v>
      </c>
      <c r="P3" t="e">
        <f>AND(Conversions!E6,"AAAAAA59dQ8=")</f>
        <v>#VALUE!</v>
      </c>
      <c r="Q3" t="e">
        <f>AND(Conversions!F6,"AAAAAA59dRA=")</f>
        <v>#VALUE!</v>
      </c>
      <c r="R3" t="e">
        <f>AND(Conversions!G6,"AAAAAA59dRE=")</f>
        <v>#VALUE!</v>
      </c>
      <c r="S3" t="e">
        <f>AND(Conversions!H6,"AAAAAA59dRI=")</f>
        <v>#VALUE!</v>
      </c>
      <c r="T3" t="e">
        <f>AND(Conversions!I6,"AAAAAA59dRM=")</f>
        <v>#VALUE!</v>
      </c>
      <c r="U3" t="e">
        <f>AND(Conversions!J6,"AAAAAA59dRQ=")</f>
        <v>#VALUE!</v>
      </c>
      <c r="V3" t="e">
        <f>AND(Conversions!K6,"AAAAAA59dRU=")</f>
        <v>#VALUE!</v>
      </c>
      <c r="W3">
        <f>IF(Conversions!7:7,"AAAAAA59dRY=",0)</f>
        <v>0</v>
      </c>
      <c r="X3" t="e">
        <f>AND(Conversions!A7,"AAAAAA59dRc=")</f>
        <v>#VALUE!</v>
      </c>
      <c r="Y3" t="e">
        <f>AND(Conversions!B7,"AAAAAA59dRg=")</f>
        <v>#VALUE!</v>
      </c>
      <c r="Z3" t="e">
        <f>AND(Conversions!C7,"AAAAAA59dRk=")</f>
        <v>#VALUE!</v>
      </c>
      <c r="AA3" t="e">
        <f>AND(Conversions!D7,"AAAAAA59dRo=")</f>
        <v>#VALUE!</v>
      </c>
      <c r="AB3" t="e">
        <f>AND(Conversions!E7,"AAAAAA59dRs=")</f>
        <v>#VALUE!</v>
      </c>
      <c r="AC3" t="e">
        <f>AND(Conversions!F7,"AAAAAA59dRw=")</f>
        <v>#VALUE!</v>
      </c>
      <c r="AD3" t="e">
        <f>AND(Conversions!G7,"AAAAAA59dR0=")</f>
        <v>#VALUE!</v>
      </c>
      <c r="AE3" t="e">
        <f>AND(Conversions!H7,"AAAAAA59dR4=")</f>
        <v>#VALUE!</v>
      </c>
      <c r="AF3" t="e">
        <f>AND(Conversions!I7,"AAAAAA59dR8=")</f>
        <v>#VALUE!</v>
      </c>
      <c r="AG3" t="e">
        <f>AND(Conversions!J7,"AAAAAA59dSA=")</f>
        <v>#VALUE!</v>
      </c>
      <c r="AH3" t="e">
        <f>AND(Conversions!K7,"AAAAAA59dSE=")</f>
        <v>#VALUE!</v>
      </c>
      <c r="AI3">
        <f>IF(Conversions!8:8,"AAAAAA59dSI=",0)</f>
        <v>0</v>
      </c>
      <c r="AJ3" t="e">
        <f>AND(Conversions!A8,"AAAAAA59dSM=")</f>
        <v>#VALUE!</v>
      </c>
      <c r="AK3" t="e">
        <f>AND(Conversions!B8,"AAAAAA59dSQ=")</f>
        <v>#VALUE!</v>
      </c>
      <c r="AL3" t="e">
        <f>AND(Conversions!C8,"AAAAAA59dSU=")</f>
        <v>#VALUE!</v>
      </c>
      <c r="AM3" t="e">
        <f>AND(Conversions!D8,"AAAAAA59dSY=")</f>
        <v>#VALUE!</v>
      </c>
      <c r="AN3" t="e">
        <f>AND(Conversions!E8,"AAAAAA59dSc=")</f>
        <v>#VALUE!</v>
      </c>
      <c r="AO3" t="e">
        <f>AND(Conversions!F8,"AAAAAA59dSg=")</f>
        <v>#VALUE!</v>
      </c>
      <c r="AP3" t="e">
        <f>AND(Conversions!G8,"AAAAAA59dSk=")</f>
        <v>#VALUE!</v>
      </c>
      <c r="AQ3" t="e">
        <f>AND(Conversions!H8,"AAAAAA59dSo=")</f>
        <v>#VALUE!</v>
      </c>
      <c r="AR3" t="e">
        <f>AND(Conversions!I8,"AAAAAA59dSs=")</f>
        <v>#VALUE!</v>
      </c>
      <c r="AS3" t="e">
        <f>AND(Conversions!J8,"AAAAAA59dSw=")</f>
        <v>#VALUE!</v>
      </c>
      <c r="AT3" t="e">
        <f>AND(Conversions!K8,"AAAAAA59dS0=")</f>
        <v>#VALUE!</v>
      </c>
      <c r="AU3">
        <f>IF(Conversions!9:9,"AAAAAA59dS4=",0)</f>
        <v>0</v>
      </c>
      <c r="AV3" t="e">
        <f>AND(Conversions!A9,"AAAAAA59dS8=")</f>
        <v>#VALUE!</v>
      </c>
      <c r="AW3" t="e">
        <f>AND(Conversions!B9,"AAAAAA59dTA=")</f>
        <v>#VALUE!</v>
      </c>
      <c r="AX3" t="e">
        <f>AND(Conversions!C9,"AAAAAA59dTE=")</f>
        <v>#VALUE!</v>
      </c>
      <c r="AY3" t="e">
        <f>AND(Conversions!D9,"AAAAAA59dTI=")</f>
        <v>#VALUE!</v>
      </c>
      <c r="AZ3" t="e">
        <f>AND(Conversions!E9,"AAAAAA59dTM=")</f>
        <v>#VALUE!</v>
      </c>
      <c r="BA3" t="e">
        <f>AND(Conversions!F9,"AAAAAA59dTQ=")</f>
        <v>#VALUE!</v>
      </c>
      <c r="BB3" t="e">
        <f>AND(Conversions!G9,"AAAAAA59dTU=")</f>
        <v>#VALUE!</v>
      </c>
      <c r="BC3" t="e">
        <f>AND(Conversions!H9,"AAAAAA59dTY=")</f>
        <v>#VALUE!</v>
      </c>
      <c r="BD3" t="e">
        <f>AND(Conversions!I9,"AAAAAA59dTc=")</f>
        <v>#VALUE!</v>
      </c>
      <c r="BE3" t="e">
        <f>AND(Conversions!J9,"AAAAAA59dTg=")</f>
        <v>#VALUE!</v>
      </c>
      <c r="BF3" t="e">
        <f>AND(Conversions!K9,"AAAAAA59dTk=")</f>
        <v>#VALUE!</v>
      </c>
      <c r="BG3">
        <f>IF(Conversions!10:10,"AAAAAA59dTo=",0)</f>
        <v>0</v>
      </c>
      <c r="BH3" t="e">
        <f>AND(Conversions!A10,"AAAAAA59dTs=")</f>
        <v>#VALUE!</v>
      </c>
      <c r="BI3" t="e">
        <f>AND(Conversions!B10,"AAAAAA59dTw=")</f>
        <v>#VALUE!</v>
      </c>
      <c r="BJ3" t="e">
        <f>AND(Conversions!C10,"AAAAAA59dT0=")</f>
        <v>#VALUE!</v>
      </c>
      <c r="BK3" t="e">
        <f>AND(Conversions!D10,"AAAAAA59dT4=")</f>
        <v>#VALUE!</v>
      </c>
      <c r="BL3" t="e">
        <f>AND(Conversions!E10,"AAAAAA59dT8=")</f>
        <v>#VALUE!</v>
      </c>
      <c r="BM3" t="e">
        <f>AND(Conversions!F10,"AAAAAA59dUA=")</f>
        <v>#VALUE!</v>
      </c>
      <c r="BN3" t="e">
        <f>AND(Conversions!G10,"AAAAAA59dUE=")</f>
        <v>#VALUE!</v>
      </c>
      <c r="BO3" t="e">
        <f>AND(Conversions!H10,"AAAAAA59dUI=")</f>
        <v>#VALUE!</v>
      </c>
      <c r="BP3" t="e">
        <f>AND(Conversions!I10,"AAAAAA59dUM=")</f>
        <v>#VALUE!</v>
      </c>
      <c r="BQ3" t="e">
        <f>AND(Conversions!J10,"AAAAAA59dUQ=")</f>
        <v>#VALUE!</v>
      </c>
      <c r="BR3" t="e">
        <f>AND(Conversions!K10,"AAAAAA59dUU=")</f>
        <v>#VALUE!</v>
      </c>
      <c r="BS3">
        <f>IF(Conversions!11:11,"AAAAAA59dUY=",0)</f>
        <v>0</v>
      </c>
      <c r="BT3" t="e">
        <f>AND(Conversions!A11,"AAAAAA59dUc=")</f>
        <v>#VALUE!</v>
      </c>
      <c r="BU3" t="e">
        <f>AND(Conversions!B11,"AAAAAA59dUg=")</f>
        <v>#VALUE!</v>
      </c>
      <c r="BV3" t="e">
        <f>AND(Conversions!C11,"AAAAAA59dUk=")</f>
        <v>#VALUE!</v>
      </c>
      <c r="BW3" t="e">
        <f>AND(Conversions!D11,"AAAAAA59dUo=")</f>
        <v>#VALUE!</v>
      </c>
      <c r="BX3" t="e">
        <f>AND(Conversions!E11,"AAAAAA59dUs=")</f>
        <v>#VALUE!</v>
      </c>
      <c r="BY3" t="e">
        <f>AND(Conversions!F11,"AAAAAA59dUw=")</f>
        <v>#VALUE!</v>
      </c>
      <c r="BZ3" t="e">
        <f>AND(Conversions!G11,"AAAAAA59dU0=")</f>
        <v>#VALUE!</v>
      </c>
      <c r="CA3" t="e">
        <f>AND(Conversions!H11,"AAAAAA59dU4=")</f>
        <v>#VALUE!</v>
      </c>
      <c r="CB3" t="e">
        <f>AND(Conversions!I11,"AAAAAA59dU8=")</f>
        <v>#VALUE!</v>
      </c>
      <c r="CC3" t="e">
        <f>AND(Conversions!J11,"AAAAAA59dVA=")</f>
        <v>#VALUE!</v>
      </c>
      <c r="CD3" t="e">
        <f>AND(Conversions!K11,"AAAAAA59dVE=")</f>
        <v>#VALUE!</v>
      </c>
      <c r="CE3">
        <f>IF(Conversions!12:12,"AAAAAA59dVI=",0)</f>
        <v>0</v>
      </c>
      <c r="CF3" t="e">
        <f>AND(Conversions!A12,"AAAAAA59dVM=")</f>
        <v>#VALUE!</v>
      </c>
      <c r="CG3" t="e">
        <f>AND(Conversions!B12,"AAAAAA59dVQ=")</f>
        <v>#VALUE!</v>
      </c>
      <c r="CH3" t="e">
        <f>AND(Conversions!C12,"AAAAAA59dVU=")</f>
        <v>#VALUE!</v>
      </c>
      <c r="CI3" t="e">
        <f>AND(Conversions!D12,"AAAAAA59dVY=")</f>
        <v>#VALUE!</v>
      </c>
      <c r="CJ3" t="e">
        <f>AND(Conversions!E12,"AAAAAA59dVc=")</f>
        <v>#VALUE!</v>
      </c>
      <c r="CK3" t="e">
        <f>AND(Conversions!F12,"AAAAAA59dVg=")</f>
        <v>#VALUE!</v>
      </c>
      <c r="CL3" t="e">
        <f>AND(Conversions!G12,"AAAAAA59dVk=")</f>
        <v>#VALUE!</v>
      </c>
      <c r="CM3" t="e">
        <f>AND(Conversions!H12,"AAAAAA59dVo=")</f>
        <v>#VALUE!</v>
      </c>
      <c r="CN3" t="e">
        <f>AND(Conversions!I12,"AAAAAA59dVs=")</f>
        <v>#VALUE!</v>
      </c>
      <c r="CO3" t="e">
        <f>AND(Conversions!J12,"AAAAAA59dVw=")</f>
        <v>#VALUE!</v>
      </c>
      <c r="CP3" t="e">
        <f>AND(Conversions!K12,"AAAAAA59dV0=")</f>
        <v>#VALUE!</v>
      </c>
      <c r="CQ3">
        <f>IF(Conversions!13:13,"AAAAAA59dV4=",0)</f>
        <v>0</v>
      </c>
      <c r="CR3" t="e">
        <f>AND(Conversions!A13,"AAAAAA59dV8=")</f>
        <v>#VALUE!</v>
      </c>
      <c r="CS3" t="e">
        <f>AND(Conversions!B13,"AAAAAA59dWA=")</f>
        <v>#VALUE!</v>
      </c>
      <c r="CT3" t="e">
        <f>AND(Conversions!C13,"AAAAAA59dWE=")</f>
        <v>#VALUE!</v>
      </c>
      <c r="CU3" t="e">
        <f>AND(Conversions!D13,"AAAAAA59dWI=")</f>
        <v>#VALUE!</v>
      </c>
      <c r="CV3" t="e">
        <f>AND(Conversions!E13,"AAAAAA59dWM=")</f>
        <v>#VALUE!</v>
      </c>
      <c r="CW3" t="e">
        <f>AND(Conversions!F13,"AAAAAA59dWQ=")</f>
        <v>#VALUE!</v>
      </c>
      <c r="CX3" t="e">
        <f>AND(Conversions!G13,"AAAAAA59dWU=")</f>
        <v>#VALUE!</v>
      </c>
      <c r="CY3" t="e">
        <f>AND(Conversions!H13,"AAAAAA59dWY=")</f>
        <v>#VALUE!</v>
      </c>
      <c r="CZ3" t="e">
        <f>AND(Conversions!I13,"AAAAAA59dWc=")</f>
        <v>#VALUE!</v>
      </c>
      <c r="DA3" t="e">
        <f>AND(Conversions!J13,"AAAAAA59dWg=")</f>
        <v>#VALUE!</v>
      </c>
      <c r="DB3" t="e">
        <f>AND(Conversions!K13,"AAAAAA59dWk=")</f>
        <v>#VALUE!</v>
      </c>
      <c r="DC3">
        <f>IF(Conversions!14:14,"AAAAAA59dWo=",0)</f>
        <v>0</v>
      </c>
      <c r="DD3" t="e">
        <f>AND(Conversions!A14,"AAAAAA59dWs=")</f>
        <v>#VALUE!</v>
      </c>
      <c r="DE3" t="e">
        <f>AND(Conversions!B14,"AAAAAA59dWw=")</f>
        <v>#VALUE!</v>
      </c>
      <c r="DF3" t="e">
        <f>AND(Conversions!C14,"AAAAAA59dW0=")</f>
        <v>#VALUE!</v>
      </c>
      <c r="DG3" t="e">
        <f>AND(Conversions!D14,"AAAAAA59dW4=")</f>
        <v>#VALUE!</v>
      </c>
      <c r="DH3" t="e">
        <f>AND(Conversions!E14,"AAAAAA59dW8=")</f>
        <v>#VALUE!</v>
      </c>
      <c r="DI3" t="e">
        <f>AND(Conversions!F14,"AAAAAA59dXA=")</f>
        <v>#VALUE!</v>
      </c>
      <c r="DJ3" t="e">
        <f>AND(Conversions!G14,"AAAAAA59dXE=")</f>
        <v>#VALUE!</v>
      </c>
      <c r="DK3" t="e">
        <f>AND(Conversions!H14,"AAAAAA59dXI=")</f>
        <v>#VALUE!</v>
      </c>
      <c r="DL3" t="e">
        <f>AND(Conversions!I14,"AAAAAA59dXM=")</f>
        <v>#VALUE!</v>
      </c>
      <c r="DM3" t="e">
        <f>AND(Conversions!J14,"AAAAAA59dXQ=")</f>
        <v>#VALUE!</v>
      </c>
      <c r="DN3" t="e">
        <f>AND(Conversions!K14,"AAAAAA59dXU=")</f>
        <v>#VALUE!</v>
      </c>
      <c r="DO3">
        <f>IF(Conversions!15:15,"AAAAAA59dXY=",0)</f>
        <v>0</v>
      </c>
      <c r="DP3" t="e">
        <f>AND(Conversions!A15,"AAAAAA59dXc=")</f>
        <v>#VALUE!</v>
      </c>
      <c r="DQ3" t="e">
        <f>AND(Conversions!B15,"AAAAAA59dXg=")</f>
        <v>#VALUE!</v>
      </c>
      <c r="DR3" t="e">
        <f>AND(Conversions!C15,"AAAAAA59dXk=")</f>
        <v>#VALUE!</v>
      </c>
      <c r="DS3" t="e">
        <f>AND(Conversions!D15,"AAAAAA59dXo=")</f>
        <v>#VALUE!</v>
      </c>
      <c r="DT3" t="e">
        <f>AND(Conversions!E15,"AAAAAA59dXs=")</f>
        <v>#VALUE!</v>
      </c>
      <c r="DU3" t="e">
        <f>AND(Conversions!F15,"AAAAAA59dXw=")</f>
        <v>#VALUE!</v>
      </c>
      <c r="DV3" t="e">
        <f>AND(Conversions!G15,"AAAAAA59dX0=")</f>
        <v>#VALUE!</v>
      </c>
      <c r="DW3" t="e">
        <f>AND(Conversions!H15,"AAAAAA59dX4=")</f>
        <v>#VALUE!</v>
      </c>
      <c r="DX3" t="e">
        <f>AND(Conversions!I15,"AAAAAA59dX8=")</f>
        <v>#VALUE!</v>
      </c>
      <c r="DY3" t="e">
        <f>AND(Conversions!J15,"AAAAAA59dYA=")</f>
        <v>#VALUE!</v>
      </c>
      <c r="DZ3" t="e">
        <f>AND(Conversions!K15,"AAAAAA59dYE=")</f>
        <v>#VALUE!</v>
      </c>
      <c r="EA3">
        <f>IF(Conversions!16:16,"AAAAAA59dYI=",0)</f>
        <v>0</v>
      </c>
      <c r="EB3" t="e">
        <f>AND(Conversions!A16,"AAAAAA59dYM=")</f>
        <v>#VALUE!</v>
      </c>
      <c r="EC3" t="e">
        <f>AND(Conversions!B16,"AAAAAA59dYQ=")</f>
        <v>#VALUE!</v>
      </c>
      <c r="ED3" t="e">
        <f>AND(Conversions!C16,"AAAAAA59dYU=")</f>
        <v>#VALUE!</v>
      </c>
      <c r="EE3" t="e">
        <f>AND(Conversions!D16,"AAAAAA59dYY=")</f>
        <v>#VALUE!</v>
      </c>
      <c r="EF3" t="e">
        <f>AND(Conversions!E16,"AAAAAA59dYc=")</f>
        <v>#VALUE!</v>
      </c>
      <c r="EG3" t="e">
        <f>AND(Conversions!F16,"AAAAAA59dYg=")</f>
        <v>#VALUE!</v>
      </c>
      <c r="EH3" t="e">
        <f>AND(Conversions!G16,"AAAAAA59dYk=")</f>
        <v>#VALUE!</v>
      </c>
      <c r="EI3" t="e">
        <f>AND(Conversions!H16,"AAAAAA59dYo=")</f>
        <v>#VALUE!</v>
      </c>
      <c r="EJ3" t="e">
        <f>AND(Conversions!I16,"AAAAAA59dYs=")</f>
        <v>#VALUE!</v>
      </c>
      <c r="EK3" t="e">
        <f>AND(Conversions!J16,"AAAAAA59dYw=")</f>
        <v>#VALUE!</v>
      </c>
      <c r="EL3" t="e">
        <f>AND(Conversions!K16,"AAAAAA59dY0=")</f>
        <v>#VALUE!</v>
      </c>
      <c r="EM3">
        <f>IF(Conversions!17:17,"AAAAAA59dY4=",0)</f>
        <v>0</v>
      </c>
      <c r="EN3" t="e">
        <f>AND(Conversions!A17,"AAAAAA59dY8=")</f>
        <v>#VALUE!</v>
      </c>
      <c r="EO3" t="e">
        <f>AND(Conversions!B17,"AAAAAA59dZA=")</f>
        <v>#VALUE!</v>
      </c>
      <c r="EP3" t="e">
        <f>AND(Conversions!C17,"AAAAAA59dZE=")</f>
        <v>#VALUE!</v>
      </c>
      <c r="EQ3" t="e">
        <f>AND(Conversions!D17,"AAAAAA59dZI=")</f>
        <v>#VALUE!</v>
      </c>
      <c r="ER3" t="e">
        <f>AND(Conversions!E17,"AAAAAA59dZM=")</f>
        <v>#VALUE!</v>
      </c>
      <c r="ES3" t="e">
        <f>AND(Conversions!F17,"AAAAAA59dZQ=")</f>
        <v>#VALUE!</v>
      </c>
      <c r="ET3" t="e">
        <f>AND(Conversions!G17,"AAAAAA59dZU=")</f>
        <v>#VALUE!</v>
      </c>
      <c r="EU3" t="e">
        <f>AND(Conversions!H17,"AAAAAA59dZY=")</f>
        <v>#VALUE!</v>
      </c>
      <c r="EV3" t="e">
        <f>AND(Conversions!I17,"AAAAAA59dZc=")</f>
        <v>#VALUE!</v>
      </c>
      <c r="EW3" t="e">
        <f>AND(Conversions!J17,"AAAAAA59dZg=")</f>
        <v>#VALUE!</v>
      </c>
      <c r="EX3" t="e">
        <f>AND(Conversions!K17,"AAAAAA59dZk=")</f>
        <v>#VALUE!</v>
      </c>
      <c r="EY3">
        <f>IF(Conversions!18:18,"AAAAAA59dZo=",0)</f>
        <v>0</v>
      </c>
      <c r="EZ3" t="e">
        <f>AND(Conversions!A18,"AAAAAA59dZs=")</f>
        <v>#VALUE!</v>
      </c>
      <c r="FA3" t="e">
        <f>AND(Conversions!B18,"AAAAAA59dZw=")</f>
        <v>#VALUE!</v>
      </c>
      <c r="FB3" t="e">
        <f>AND(Conversions!C18,"AAAAAA59dZ0=")</f>
        <v>#VALUE!</v>
      </c>
      <c r="FC3" t="e">
        <f>AND(Conversions!D18,"AAAAAA59dZ4=")</f>
        <v>#VALUE!</v>
      </c>
      <c r="FD3" t="e">
        <f>AND(Conversions!E18,"AAAAAA59dZ8=")</f>
        <v>#VALUE!</v>
      </c>
      <c r="FE3" t="e">
        <f>AND(Conversions!F18,"AAAAAA59daA=")</f>
        <v>#VALUE!</v>
      </c>
      <c r="FF3" t="e">
        <f>AND(Conversions!G18,"AAAAAA59daE=")</f>
        <v>#VALUE!</v>
      </c>
      <c r="FG3" t="e">
        <f>AND(Conversions!H18,"AAAAAA59daI=")</f>
        <v>#VALUE!</v>
      </c>
      <c r="FH3" t="e">
        <f>AND(Conversions!I18,"AAAAAA59daM=")</f>
        <v>#VALUE!</v>
      </c>
      <c r="FI3" t="e">
        <f>AND(Conversions!J18,"AAAAAA59daQ=")</f>
        <v>#VALUE!</v>
      </c>
      <c r="FJ3" t="e">
        <f>AND(Conversions!K18,"AAAAAA59daU=")</f>
        <v>#VALUE!</v>
      </c>
      <c r="FK3">
        <f>IF(Conversions!19:19,"AAAAAA59daY=",0)</f>
        <v>0</v>
      </c>
      <c r="FL3" t="e">
        <f>AND(Conversions!A19,"AAAAAA59dac=")</f>
        <v>#VALUE!</v>
      </c>
      <c r="FM3" t="e">
        <f>AND(Conversions!B19,"AAAAAA59dag=")</f>
        <v>#VALUE!</v>
      </c>
      <c r="FN3" t="e">
        <f>AND(Conversions!C19,"AAAAAA59dak=")</f>
        <v>#VALUE!</v>
      </c>
      <c r="FO3" t="e">
        <f>AND(Conversions!D19,"AAAAAA59dao=")</f>
        <v>#VALUE!</v>
      </c>
      <c r="FP3" t="e">
        <f>AND(Conversions!E19,"AAAAAA59das=")</f>
        <v>#VALUE!</v>
      </c>
      <c r="FQ3" t="e">
        <f>AND(Conversions!F19,"AAAAAA59daw=")</f>
        <v>#VALUE!</v>
      </c>
      <c r="FR3" t="e">
        <f>AND(Conversions!G19,"AAAAAA59da0=")</f>
        <v>#VALUE!</v>
      </c>
      <c r="FS3" t="e">
        <f>AND(Conversions!H19,"AAAAAA59da4=")</f>
        <v>#VALUE!</v>
      </c>
      <c r="FT3" t="e">
        <f>AND(Conversions!I19,"AAAAAA59da8=")</f>
        <v>#VALUE!</v>
      </c>
      <c r="FU3" t="e">
        <f>AND(Conversions!J19,"AAAAAA59dbA=")</f>
        <v>#VALUE!</v>
      </c>
      <c r="FV3" t="e">
        <f>AND(Conversions!K19,"AAAAAA59dbE=")</f>
        <v>#VALUE!</v>
      </c>
      <c r="FW3">
        <f>IF(Conversions!20:20,"AAAAAA59dbI=",0)</f>
        <v>0</v>
      </c>
      <c r="FX3" t="e">
        <f>AND(Conversions!A20,"AAAAAA59dbM=")</f>
        <v>#VALUE!</v>
      </c>
      <c r="FY3" t="e">
        <f>AND(Conversions!B20,"AAAAAA59dbQ=")</f>
        <v>#VALUE!</v>
      </c>
      <c r="FZ3" t="e">
        <f>AND(Conversions!C20,"AAAAAA59dbU=")</f>
        <v>#VALUE!</v>
      </c>
      <c r="GA3" t="e">
        <f>AND(Conversions!D20,"AAAAAA59dbY=")</f>
        <v>#VALUE!</v>
      </c>
      <c r="GB3" t="e">
        <f>AND(Conversions!E20,"AAAAAA59dbc=")</f>
        <v>#VALUE!</v>
      </c>
      <c r="GC3" t="e">
        <f>AND(Conversions!F20,"AAAAAA59dbg=")</f>
        <v>#VALUE!</v>
      </c>
      <c r="GD3" t="e">
        <f>AND(Conversions!G20,"AAAAAA59dbk=")</f>
        <v>#VALUE!</v>
      </c>
      <c r="GE3" t="e">
        <f>AND(Conversions!H20,"AAAAAA59dbo=")</f>
        <v>#VALUE!</v>
      </c>
      <c r="GF3" t="e">
        <f>AND(Conversions!I20,"AAAAAA59dbs=")</f>
        <v>#VALUE!</v>
      </c>
      <c r="GG3" t="e">
        <f>AND(Conversions!J20,"AAAAAA59dbw=")</f>
        <v>#VALUE!</v>
      </c>
      <c r="GH3" t="e">
        <f>AND(Conversions!K20,"AAAAAA59db0=")</f>
        <v>#VALUE!</v>
      </c>
      <c r="GI3">
        <f>IF(Conversions!21:21,"AAAAAA59db4=",0)</f>
        <v>0</v>
      </c>
      <c r="GJ3" t="e">
        <f>AND(Conversions!A21,"AAAAAA59db8=")</f>
        <v>#VALUE!</v>
      </c>
      <c r="GK3" t="e">
        <f>AND(Conversions!B21,"AAAAAA59dcA=")</f>
        <v>#VALUE!</v>
      </c>
      <c r="GL3" t="e">
        <f>AND(Conversions!C21,"AAAAAA59dcE=")</f>
        <v>#VALUE!</v>
      </c>
      <c r="GM3" t="e">
        <f>AND(Conversions!D21,"AAAAAA59dcI=")</f>
        <v>#VALUE!</v>
      </c>
      <c r="GN3" t="e">
        <f>AND(Conversions!E21,"AAAAAA59dcM=")</f>
        <v>#VALUE!</v>
      </c>
      <c r="GO3" t="e">
        <f>AND(Conversions!F21,"AAAAAA59dcQ=")</f>
        <v>#VALUE!</v>
      </c>
      <c r="GP3" t="e">
        <f>AND(Conversions!G21,"AAAAAA59dcU=")</f>
        <v>#VALUE!</v>
      </c>
      <c r="GQ3" t="e">
        <f>AND(Conversions!H21,"AAAAAA59dcY=")</f>
        <v>#VALUE!</v>
      </c>
      <c r="GR3" t="e">
        <f>AND(Conversions!I21,"AAAAAA59dcc=")</f>
        <v>#VALUE!</v>
      </c>
      <c r="GS3" t="e">
        <f>AND(Conversions!J21,"AAAAAA59dcg=")</f>
        <v>#VALUE!</v>
      </c>
      <c r="GT3" t="e">
        <f>AND(Conversions!K21,"AAAAAA59dck=")</f>
        <v>#VALUE!</v>
      </c>
      <c r="GU3">
        <f>IF(Conversions!22:22,"AAAAAA59dco=",0)</f>
        <v>0</v>
      </c>
      <c r="GV3" t="e">
        <f>AND(Conversions!A22,"AAAAAA59dcs=")</f>
        <v>#VALUE!</v>
      </c>
      <c r="GW3" t="e">
        <f>AND(Conversions!B22,"AAAAAA59dcw=")</f>
        <v>#VALUE!</v>
      </c>
      <c r="GX3" t="e">
        <f>AND(Conversions!C22,"AAAAAA59dc0=")</f>
        <v>#VALUE!</v>
      </c>
      <c r="GY3" t="e">
        <f>AND(Conversions!D22,"AAAAAA59dc4=")</f>
        <v>#VALUE!</v>
      </c>
      <c r="GZ3" t="e">
        <f>AND(Conversions!E22,"AAAAAA59dc8=")</f>
        <v>#VALUE!</v>
      </c>
      <c r="HA3" t="e">
        <f>AND(Conversions!F22,"AAAAAA59ddA=")</f>
        <v>#VALUE!</v>
      </c>
      <c r="HB3" t="e">
        <f>AND(Conversions!G22,"AAAAAA59ddE=")</f>
        <v>#VALUE!</v>
      </c>
      <c r="HC3" t="e">
        <f>AND(Conversions!H22,"AAAAAA59ddI=")</f>
        <v>#VALUE!</v>
      </c>
      <c r="HD3" t="e">
        <f>AND(Conversions!I22,"AAAAAA59ddM=")</f>
        <v>#VALUE!</v>
      </c>
      <c r="HE3" t="e">
        <f>AND(Conversions!J22,"AAAAAA59ddQ=")</f>
        <v>#VALUE!</v>
      </c>
      <c r="HF3" t="e">
        <f>AND(Conversions!K22,"AAAAAA59ddU=")</f>
        <v>#VALUE!</v>
      </c>
      <c r="HG3">
        <f>IF(Conversions!23:23,"AAAAAA59ddY=",0)</f>
        <v>0</v>
      </c>
      <c r="HH3" t="e">
        <f>AND(Conversions!A23,"AAAAAA59ddc=")</f>
        <v>#VALUE!</v>
      </c>
      <c r="HI3" t="e">
        <f>AND(Conversions!B23,"AAAAAA59ddg=")</f>
        <v>#VALUE!</v>
      </c>
      <c r="HJ3" t="e">
        <f>AND(Conversions!C23,"AAAAAA59ddk=")</f>
        <v>#VALUE!</v>
      </c>
      <c r="HK3" t="e">
        <f>AND(Conversions!D23,"AAAAAA59ddo=")</f>
        <v>#VALUE!</v>
      </c>
      <c r="HL3" t="e">
        <f>AND(Conversions!E23,"AAAAAA59dds=")</f>
        <v>#VALUE!</v>
      </c>
      <c r="HM3" t="e">
        <f>AND(Conversions!F23,"AAAAAA59ddw=")</f>
        <v>#VALUE!</v>
      </c>
      <c r="HN3" t="e">
        <f>AND(Conversions!G23,"AAAAAA59dd0=")</f>
        <v>#VALUE!</v>
      </c>
      <c r="HO3" t="e">
        <f>AND(Conversions!H23,"AAAAAA59dd4=")</f>
        <v>#VALUE!</v>
      </c>
      <c r="HP3" t="e">
        <f>AND(Conversions!I23,"AAAAAA59dd8=")</f>
        <v>#VALUE!</v>
      </c>
      <c r="HQ3" t="e">
        <f>AND(Conversions!J23,"AAAAAA59deA=")</f>
        <v>#VALUE!</v>
      </c>
      <c r="HR3" t="e">
        <f>AND(Conversions!K23,"AAAAAA59deE=")</f>
        <v>#VALUE!</v>
      </c>
      <c r="HS3">
        <f>IF(Conversions!24:24,"AAAAAA59deI=",0)</f>
        <v>0</v>
      </c>
      <c r="HT3" t="e">
        <f>AND(Conversions!A24,"AAAAAA59deM=")</f>
        <v>#VALUE!</v>
      </c>
      <c r="HU3" t="e">
        <f>AND(Conversions!B24,"AAAAAA59deQ=")</f>
        <v>#VALUE!</v>
      </c>
      <c r="HV3" t="e">
        <f>AND(Conversions!C24,"AAAAAA59deU=")</f>
        <v>#VALUE!</v>
      </c>
      <c r="HW3" t="e">
        <f>AND(Conversions!D24,"AAAAAA59deY=")</f>
        <v>#VALUE!</v>
      </c>
      <c r="HX3" t="e">
        <f>AND(Conversions!E24,"AAAAAA59dec=")</f>
        <v>#VALUE!</v>
      </c>
      <c r="HY3" t="e">
        <f>AND(Conversions!F24,"AAAAAA59deg=")</f>
        <v>#VALUE!</v>
      </c>
      <c r="HZ3" t="e">
        <f>AND(Conversions!G24,"AAAAAA59dek=")</f>
        <v>#VALUE!</v>
      </c>
      <c r="IA3" t="e">
        <f>AND(Conversions!H24,"AAAAAA59deo=")</f>
        <v>#VALUE!</v>
      </c>
      <c r="IB3" t="e">
        <f>AND(Conversions!I24,"AAAAAA59des=")</f>
        <v>#VALUE!</v>
      </c>
      <c r="IC3" t="e">
        <f>AND(Conversions!J24,"AAAAAA59dew=")</f>
        <v>#VALUE!</v>
      </c>
      <c r="ID3" t="e">
        <f>AND(Conversions!K24,"AAAAAA59de0=")</f>
        <v>#VALUE!</v>
      </c>
      <c r="IE3">
        <f>IF(Conversions!25:25,"AAAAAA59de4=",0)</f>
        <v>0</v>
      </c>
      <c r="IF3" t="e">
        <f>AND(Conversions!A25,"AAAAAA59de8=")</f>
        <v>#VALUE!</v>
      </c>
      <c r="IG3" t="e">
        <f>AND(Conversions!B25,"AAAAAA59dfA=")</f>
        <v>#VALUE!</v>
      </c>
      <c r="IH3" t="e">
        <f>AND(Conversions!C25,"AAAAAA59dfE=")</f>
        <v>#VALUE!</v>
      </c>
      <c r="II3" t="e">
        <f>AND(Conversions!D25,"AAAAAA59dfI=")</f>
        <v>#VALUE!</v>
      </c>
      <c r="IJ3" t="e">
        <f>AND(Conversions!E25,"AAAAAA59dfM=")</f>
        <v>#VALUE!</v>
      </c>
      <c r="IK3" t="e">
        <f>AND(Conversions!F25,"AAAAAA59dfQ=")</f>
        <v>#VALUE!</v>
      </c>
      <c r="IL3" t="e">
        <f>AND(Conversions!G25,"AAAAAA59dfU=")</f>
        <v>#VALUE!</v>
      </c>
      <c r="IM3" t="e">
        <f>AND(Conversions!H25,"AAAAAA59dfY=")</f>
        <v>#VALUE!</v>
      </c>
      <c r="IN3" t="e">
        <f>AND(Conversions!I25,"AAAAAA59dfc=")</f>
        <v>#VALUE!</v>
      </c>
      <c r="IO3" t="e">
        <f>AND(Conversions!J25,"AAAAAA59dfg=")</f>
        <v>#VALUE!</v>
      </c>
      <c r="IP3" t="e">
        <f>AND(Conversions!K25,"AAAAAA59dfk=")</f>
        <v>#VALUE!</v>
      </c>
      <c r="IQ3">
        <f>IF(Conversions!26:26,"AAAAAA59dfo=",0)</f>
        <v>0</v>
      </c>
      <c r="IR3" t="e">
        <f>AND(Conversions!A26,"AAAAAA59dfs=")</f>
        <v>#VALUE!</v>
      </c>
      <c r="IS3" t="e">
        <f>AND(Conversions!B26,"AAAAAA59dfw=")</f>
        <v>#VALUE!</v>
      </c>
      <c r="IT3" t="e">
        <f>AND(Conversions!C26,"AAAAAA59df0=")</f>
        <v>#VALUE!</v>
      </c>
      <c r="IU3" t="e">
        <f>AND(Conversions!D26,"AAAAAA59df4=")</f>
        <v>#VALUE!</v>
      </c>
      <c r="IV3" t="e">
        <f>AND(Conversions!E26,"AAAAAA59df8=")</f>
        <v>#VALUE!</v>
      </c>
    </row>
    <row r="4" spans="1:256">
      <c r="A4" t="e">
        <f>AND(Conversions!F26,"AAAAAGF/jwA=")</f>
        <v>#VALUE!</v>
      </c>
      <c r="B4" t="e">
        <f>AND(Conversions!G26,"AAAAAGF/jwE=")</f>
        <v>#VALUE!</v>
      </c>
      <c r="C4" t="e">
        <f>AND(Conversions!H26,"AAAAAGF/jwI=")</f>
        <v>#VALUE!</v>
      </c>
      <c r="D4" t="e">
        <f>AND(Conversions!I26,"AAAAAGF/jwM=")</f>
        <v>#VALUE!</v>
      </c>
      <c r="E4" t="e">
        <f>AND(Conversions!J26,"AAAAAGF/jwQ=")</f>
        <v>#VALUE!</v>
      </c>
      <c r="F4" t="e">
        <f>AND(Conversions!K26,"AAAAAGF/jwU=")</f>
        <v>#VALUE!</v>
      </c>
      <c r="G4">
        <f>IF(Conversions!27:27,"AAAAAGF/jwY=",0)</f>
        <v>0</v>
      </c>
      <c r="H4" t="e">
        <f>AND(Conversions!A27,"AAAAAGF/jwc=")</f>
        <v>#VALUE!</v>
      </c>
      <c r="I4" t="e">
        <f>AND(Conversions!B27,"AAAAAGF/jwg=")</f>
        <v>#VALUE!</v>
      </c>
      <c r="J4" t="e">
        <f>AND(Conversions!C27,"AAAAAGF/jwk=")</f>
        <v>#VALUE!</v>
      </c>
      <c r="K4" t="e">
        <f>AND(Conversions!D27,"AAAAAGF/jwo=")</f>
        <v>#VALUE!</v>
      </c>
      <c r="L4" t="e">
        <f>AND(Conversions!E27,"AAAAAGF/jws=")</f>
        <v>#VALUE!</v>
      </c>
      <c r="M4" t="e">
        <f>AND(Conversions!F27,"AAAAAGF/jww=")</f>
        <v>#VALUE!</v>
      </c>
      <c r="N4" t="e">
        <f>AND(Conversions!G27,"AAAAAGF/jw0=")</f>
        <v>#VALUE!</v>
      </c>
      <c r="O4" t="e">
        <f>AND(Conversions!H27,"AAAAAGF/jw4=")</f>
        <v>#VALUE!</v>
      </c>
      <c r="P4" t="e">
        <f>AND(Conversions!I27,"AAAAAGF/jw8=")</f>
        <v>#VALUE!</v>
      </c>
      <c r="Q4" t="e">
        <f>AND(Conversions!J27,"AAAAAGF/jxA=")</f>
        <v>#VALUE!</v>
      </c>
      <c r="R4" t="e">
        <f>AND(Conversions!K27,"AAAAAGF/jxE=")</f>
        <v>#VALUE!</v>
      </c>
      <c r="S4">
        <f>IF(Conversions!28:28,"AAAAAGF/jxI=",0)</f>
        <v>0</v>
      </c>
      <c r="T4" t="e">
        <f>AND(Conversions!A28,"AAAAAGF/jxM=")</f>
        <v>#VALUE!</v>
      </c>
      <c r="U4" t="e">
        <f>AND(Conversions!B28,"AAAAAGF/jxQ=")</f>
        <v>#VALUE!</v>
      </c>
      <c r="V4" t="e">
        <f>AND(Conversions!C28,"AAAAAGF/jxU=")</f>
        <v>#VALUE!</v>
      </c>
      <c r="W4" t="e">
        <f>AND(Conversions!D28,"AAAAAGF/jxY=")</f>
        <v>#VALUE!</v>
      </c>
      <c r="X4" t="e">
        <f>AND(Conversions!E28,"AAAAAGF/jxc=")</f>
        <v>#VALUE!</v>
      </c>
      <c r="Y4" t="e">
        <f>AND(Conversions!F28,"AAAAAGF/jxg=")</f>
        <v>#VALUE!</v>
      </c>
      <c r="Z4" t="e">
        <f>AND(Conversions!G28,"AAAAAGF/jxk=")</f>
        <v>#VALUE!</v>
      </c>
      <c r="AA4" t="e">
        <f>AND(Conversions!H28,"AAAAAGF/jxo=")</f>
        <v>#VALUE!</v>
      </c>
      <c r="AB4" t="e">
        <f>AND(Conversions!I28,"AAAAAGF/jxs=")</f>
        <v>#VALUE!</v>
      </c>
      <c r="AC4" t="e">
        <f>AND(Conversions!J28,"AAAAAGF/jxw=")</f>
        <v>#VALUE!</v>
      </c>
      <c r="AD4" t="e">
        <f>AND(Conversions!K28,"AAAAAGF/jx0=")</f>
        <v>#VALUE!</v>
      </c>
      <c r="AE4">
        <f>IF(Conversions!29:29,"AAAAAGF/jx4=",0)</f>
        <v>0</v>
      </c>
      <c r="AF4" t="e">
        <f>AND(Conversions!A29,"AAAAAGF/jx8=")</f>
        <v>#VALUE!</v>
      </c>
      <c r="AG4" t="e">
        <f>AND(Conversions!B29,"AAAAAGF/jyA=")</f>
        <v>#VALUE!</v>
      </c>
      <c r="AH4" t="e">
        <f>AND(Conversions!C29,"AAAAAGF/jyE=")</f>
        <v>#VALUE!</v>
      </c>
      <c r="AI4" t="e">
        <f>AND(Conversions!D29,"AAAAAGF/jyI=")</f>
        <v>#VALUE!</v>
      </c>
      <c r="AJ4" t="e">
        <f>AND(Conversions!E29,"AAAAAGF/jyM=")</f>
        <v>#VALUE!</v>
      </c>
      <c r="AK4" t="e">
        <f>AND(Conversions!F29,"AAAAAGF/jyQ=")</f>
        <v>#VALUE!</v>
      </c>
      <c r="AL4" t="e">
        <f>AND(Conversions!G29,"AAAAAGF/jyU=")</f>
        <v>#VALUE!</v>
      </c>
      <c r="AM4" t="e">
        <f>AND(Conversions!H29,"AAAAAGF/jyY=")</f>
        <v>#VALUE!</v>
      </c>
      <c r="AN4" t="e">
        <f>AND(Conversions!I29,"AAAAAGF/jyc=")</f>
        <v>#VALUE!</v>
      </c>
      <c r="AO4" t="e">
        <f>AND(Conversions!J29,"AAAAAGF/jyg=")</f>
        <v>#VALUE!</v>
      </c>
      <c r="AP4" t="e">
        <f>AND(Conversions!K29,"AAAAAGF/jyk=")</f>
        <v>#VALUE!</v>
      </c>
      <c r="AQ4">
        <f>IF(Conversions!30:30,"AAAAAGF/jyo=",0)</f>
        <v>0</v>
      </c>
      <c r="AR4" t="e">
        <f>AND(Conversions!A30,"AAAAAGF/jys=")</f>
        <v>#VALUE!</v>
      </c>
      <c r="AS4" t="e">
        <f>AND(Conversions!B30,"AAAAAGF/jyw=")</f>
        <v>#VALUE!</v>
      </c>
      <c r="AT4" t="e">
        <f>AND(Conversions!C30,"AAAAAGF/jy0=")</f>
        <v>#VALUE!</v>
      </c>
      <c r="AU4" t="e">
        <f>AND(Conversions!D30,"AAAAAGF/jy4=")</f>
        <v>#VALUE!</v>
      </c>
      <c r="AV4" t="e">
        <f>AND(Conversions!E30,"AAAAAGF/jy8=")</f>
        <v>#VALUE!</v>
      </c>
      <c r="AW4" t="e">
        <f>AND(Conversions!F30,"AAAAAGF/jzA=")</f>
        <v>#VALUE!</v>
      </c>
      <c r="AX4" t="e">
        <f>AND(Conversions!G30,"AAAAAGF/jzE=")</f>
        <v>#VALUE!</v>
      </c>
      <c r="AY4" t="e">
        <f>AND(Conversions!H30,"AAAAAGF/jzI=")</f>
        <v>#VALUE!</v>
      </c>
      <c r="AZ4" t="e">
        <f>AND(Conversions!I30,"AAAAAGF/jzM=")</f>
        <v>#VALUE!</v>
      </c>
      <c r="BA4" t="e">
        <f>AND(Conversions!J30,"AAAAAGF/jzQ=")</f>
        <v>#VALUE!</v>
      </c>
      <c r="BB4" t="e">
        <f>AND(Conversions!K30,"AAAAAGF/jzU=")</f>
        <v>#VALUE!</v>
      </c>
      <c r="BC4">
        <f>IF(Conversions!31:31,"AAAAAGF/jzY=",0)</f>
        <v>0</v>
      </c>
      <c r="BD4" t="e">
        <f>AND(Conversions!A31,"AAAAAGF/jzc=")</f>
        <v>#VALUE!</v>
      </c>
      <c r="BE4" t="e">
        <f>AND(Conversions!B31,"AAAAAGF/jzg=")</f>
        <v>#VALUE!</v>
      </c>
      <c r="BF4" t="e">
        <f>AND(Conversions!C31,"AAAAAGF/jzk=")</f>
        <v>#VALUE!</v>
      </c>
      <c r="BG4" t="e">
        <f>AND(Conversions!D31,"AAAAAGF/jzo=")</f>
        <v>#VALUE!</v>
      </c>
      <c r="BH4" t="e">
        <f>AND(Conversions!E31,"AAAAAGF/jzs=")</f>
        <v>#VALUE!</v>
      </c>
      <c r="BI4" t="e">
        <f>AND(Conversions!F31,"AAAAAGF/jzw=")</f>
        <v>#VALUE!</v>
      </c>
      <c r="BJ4" t="e">
        <f>AND(Conversions!G31,"AAAAAGF/jz0=")</f>
        <v>#VALUE!</v>
      </c>
      <c r="BK4" t="e">
        <f>AND(Conversions!H31,"AAAAAGF/jz4=")</f>
        <v>#VALUE!</v>
      </c>
      <c r="BL4" t="e">
        <f>AND(Conversions!I31,"AAAAAGF/jz8=")</f>
        <v>#VALUE!</v>
      </c>
      <c r="BM4" t="e">
        <f>AND(Conversions!J31,"AAAAAGF/j0A=")</f>
        <v>#VALUE!</v>
      </c>
      <c r="BN4" t="e">
        <f>AND(Conversions!K31,"AAAAAGF/j0E=")</f>
        <v>#VALUE!</v>
      </c>
      <c r="BO4">
        <f>IF(Conversions!32:32,"AAAAAGF/j0I=",0)</f>
        <v>0</v>
      </c>
      <c r="BP4" t="e">
        <f>AND(Conversions!A32,"AAAAAGF/j0M=")</f>
        <v>#VALUE!</v>
      </c>
      <c r="BQ4" t="e">
        <f>AND(Conversions!B32,"AAAAAGF/j0Q=")</f>
        <v>#VALUE!</v>
      </c>
      <c r="BR4" t="e">
        <f>AND(Conversions!C32,"AAAAAGF/j0U=")</f>
        <v>#VALUE!</v>
      </c>
      <c r="BS4" t="e">
        <f>AND(Conversions!D32,"AAAAAGF/j0Y=")</f>
        <v>#VALUE!</v>
      </c>
      <c r="BT4" t="e">
        <f>AND(Conversions!E32,"AAAAAGF/j0c=")</f>
        <v>#VALUE!</v>
      </c>
      <c r="BU4" t="e">
        <f>AND(Conversions!F32,"AAAAAGF/j0g=")</f>
        <v>#VALUE!</v>
      </c>
      <c r="BV4" t="e">
        <f>AND(Conversions!G32,"AAAAAGF/j0k=")</f>
        <v>#VALUE!</v>
      </c>
      <c r="BW4" t="e">
        <f>AND(Conversions!H32,"AAAAAGF/j0o=")</f>
        <v>#VALUE!</v>
      </c>
      <c r="BX4" t="e">
        <f>AND(Conversions!I32,"AAAAAGF/j0s=")</f>
        <v>#VALUE!</v>
      </c>
      <c r="BY4" t="e">
        <f>AND(Conversions!J32,"AAAAAGF/j0w=")</f>
        <v>#VALUE!</v>
      </c>
      <c r="BZ4" t="e">
        <f>AND(Conversions!K32,"AAAAAGF/j00=")</f>
        <v>#VALUE!</v>
      </c>
      <c r="CA4">
        <f>IF(Conversions!33:33,"AAAAAGF/j04=",0)</f>
        <v>0</v>
      </c>
      <c r="CB4" t="e">
        <f>AND(Conversions!A33,"AAAAAGF/j08=")</f>
        <v>#VALUE!</v>
      </c>
      <c r="CC4" t="e">
        <f>AND(Conversions!B33,"AAAAAGF/j1A=")</f>
        <v>#VALUE!</v>
      </c>
      <c r="CD4" t="e">
        <f>AND(Conversions!C33,"AAAAAGF/j1E=")</f>
        <v>#VALUE!</v>
      </c>
      <c r="CE4" t="e">
        <f>AND(Conversions!D33,"AAAAAGF/j1I=")</f>
        <v>#VALUE!</v>
      </c>
      <c r="CF4" t="e">
        <f>AND(Conversions!E33,"AAAAAGF/j1M=")</f>
        <v>#VALUE!</v>
      </c>
      <c r="CG4" t="e">
        <f>AND(Conversions!F33,"AAAAAGF/j1Q=")</f>
        <v>#VALUE!</v>
      </c>
      <c r="CH4" t="e">
        <f>AND(Conversions!G33,"AAAAAGF/j1U=")</f>
        <v>#VALUE!</v>
      </c>
      <c r="CI4" t="e">
        <f>AND(Conversions!H33,"AAAAAGF/j1Y=")</f>
        <v>#VALUE!</v>
      </c>
      <c r="CJ4" t="e">
        <f>AND(Conversions!I33,"AAAAAGF/j1c=")</f>
        <v>#VALUE!</v>
      </c>
      <c r="CK4" t="e">
        <f>AND(Conversions!J33,"AAAAAGF/j1g=")</f>
        <v>#VALUE!</v>
      </c>
      <c r="CL4" t="e">
        <f>AND(Conversions!K33,"AAAAAGF/j1k=")</f>
        <v>#VALUE!</v>
      </c>
      <c r="CM4">
        <f>IF(Conversions!34:34,"AAAAAGF/j1o=",0)</f>
        <v>0</v>
      </c>
      <c r="CN4" t="e">
        <f>AND(Conversions!A34,"AAAAAGF/j1s=")</f>
        <v>#VALUE!</v>
      </c>
      <c r="CO4" t="e">
        <f>AND(Conversions!B34,"AAAAAGF/j1w=")</f>
        <v>#VALUE!</v>
      </c>
      <c r="CP4" t="e">
        <f>AND(Conversions!C34,"AAAAAGF/j10=")</f>
        <v>#VALUE!</v>
      </c>
      <c r="CQ4" t="e">
        <f>AND(Conversions!D34,"AAAAAGF/j14=")</f>
        <v>#VALUE!</v>
      </c>
      <c r="CR4" t="e">
        <f>AND(Conversions!E34,"AAAAAGF/j18=")</f>
        <v>#VALUE!</v>
      </c>
      <c r="CS4" t="e">
        <f>AND(Conversions!F34,"AAAAAGF/j2A=")</f>
        <v>#VALUE!</v>
      </c>
      <c r="CT4" t="e">
        <f>AND(Conversions!G34,"AAAAAGF/j2E=")</f>
        <v>#VALUE!</v>
      </c>
      <c r="CU4" t="e">
        <f>AND(Conversions!H34,"AAAAAGF/j2I=")</f>
        <v>#VALUE!</v>
      </c>
      <c r="CV4" t="e">
        <f>AND(Conversions!I34,"AAAAAGF/j2M=")</f>
        <v>#VALUE!</v>
      </c>
      <c r="CW4" t="e">
        <f>AND(Conversions!J34,"AAAAAGF/j2Q=")</f>
        <v>#VALUE!</v>
      </c>
      <c r="CX4" t="e">
        <f>AND(Conversions!K34,"AAAAAGF/j2U=")</f>
        <v>#VALUE!</v>
      </c>
      <c r="CY4">
        <f>IF(Conversions!35:35,"AAAAAGF/j2Y=",0)</f>
        <v>0</v>
      </c>
      <c r="CZ4" t="e">
        <f>AND(Conversions!A35,"AAAAAGF/j2c=")</f>
        <v>#VALUE!</v>
      </c>
      <c r="DA4" t="e">
        <f>AND(Conversions!B35,"AAAAAGF/j2g=")</f>
        <v>#VALUE!</v>
      </c>
      <c r="DB4" t="e">
        <f>AND(Conversions!C35,"AAAAAGF/j2k=")</f>
        <v>#VALUE!</v>
      </c>
      <c r="DC4" t="e">
        <f>AND(Conversions!D35,"AAAAAGF/j2o=")</f>
        <v>#VALUE!</v>
      </c>
      <c r="DD4" t="e">
        <f>AND(Conversions!E35,"AAAAAGF/j2s=")</f>
        <v>#VALUE!</v>
      </c>
      <c r="DE4" t="e">
        <f>AND(Conversions!F35,"AAAAAGF/j2w=")</f>
        <v>#VALUE!</v>
      </c>
      <c r="DF4" t="e">
        <f>AND(Conversions!G35,"AAAAAGF/j20=")</f>
        <v>#VALUE!</v>
      </c>
      <c r="DG4" t="e">
        <f>AND(Conversions!H35,"AAAAAGF/j24=")</f>
        <v>#VALUE!</v>
      </c>
      <c r="DH4" t="e">
        <f>AND(Conversions!I35,"AAAAAGF/j28=")</f>
        <v>#VALUE!</v>
      </c>
      <c r="DI4" t="e">
        <f>AND(Conversions!J35,"AAAAAGF/j3A=")</f>
        <v>#VALUE!</v>
      </c>
      <c r="DJ4" t="e">
        <f>AND(Conversions!K35,"AAAAAGF/j3E=")</f>
        <v>#VALUE!</v>
      </c>
      <c r="DK4">
        <f>IF(Conversions!36:36,"AAAAAGF/j3I=",0)</f>
        <v>0</v>
      </c>
      <c r="DL4">
        <f>IF(Conversions!37:37,"AAAAAGF/j3M=",0)</f>
        <v>0</v>
      </c>
      <c r="DM4">
        <f>IF(Conversions!38:38,"AAAAAGF/j3Q=",0)</f>
        <v>0</v>
      </c>
      <c r="DN4">
        <f>IF(Conversions!39:39,"AAAAAGF/j3U=",0)</f>
        <v>0</v>
      </c>
      <c r="DO4">
        <f>IF(Conversions!40:40,"AAAAAGF/j3Y=",0)</f>
        <v>0</v>
      </c>
      <c r="DP4">
        <f>IF(Conversions!41:41,"AAAAAGF/j3c=",0)</f>
        <v>0</v>
      </c>
      <c r="DQ4">
        <f>IF(Conversions!42:42,"AAAAAGF/j3g=",0)</f>
        <v>0</v>
      </c>
      <c r="DR4">
        <f>IF(Conversions!A:A,"AAAAAGF/j3k=",0)</f>
        <v>0</v>
      </c>
      <c r="DS4" t="e">
        <f>IF(Conversions!B:B,"AAAAAGF/j3o=",0)</f>
        <v>#VALUE!</v>
      </c>
      <c r="DT4" t="e">
        <f>IF(Conversions!C:C,"AAAAAGF/j3s=",0)</f>
        <v>#VALUE!</v>
      </c>
      <c r="DU4">
        <f>IF(Conversions!D:D,"AAAAAGF/j3w=",0)</f>
        <v>0</v>
      </c>
      <c r="DV4">
        <f>IF(Conversions!E:E,"AAAAAGF/j30=",0)</f>
        <v>0</v>
      </c>
      <c r="DW4">
        <f>IF(Conversions!F:F,"AAAAAGF/j34=",0)</f>
        <v>0</v>
      </c>
      <c r="DX4">
        <f>IF(Conversions!G:G,"AAAAAGF/j38=",0)</f>
        <v>0</v>
      </c>
      <c r="DY4">
        <f>IF(Conversions!H:H,"AAAAAGF/j4A=",0)</f>
        <v>0</v>
      </c>
      <c r="DZ4">
        <f>IF(Conversions!I:I,"AAAAAGF/j4E=",0)</f>
        <v>0</v>
      </c>
      <c r="EA4">
        <f>IF(Conversions!J:J,"AAAAAGF/j4I=",0)</f>
        <v>0</v>
      </c>
      <c r="EB4">
        <f>IF(Conversions!K:K,"AAAAAGF/j4M=",0)</f>
        <v>0</v>
      </c>
      <c r="EC4" s="4" t="s">
        <v>63</v>
      </c>
      <c r="ED4" t="s">
        <v>64</v>
      </c>
    </row>
    <row r="5" spans="1:256">
      <c r="A5" t="e">
        <f>AND(Directions!A1,"AAAAAC/p7wA=")</f>
        <v>#VALUE!</v>
      </c>
      <c r="B5">
        <f>IF(Directions!2:2,"AAAAAC/p7wE=",0)</f>
        <v>0</v>
      </c>
      <c r="C5">
        <f>IF(Directions!3:3,"AAAAAC/p7wI=",0)</f>
        <v>0</v>
      </c>
      <c r="D5" t="e">
        <f>AND(Directions!A3,"AAAAAC/p7wM=")</f>
        <v>#VALUE!</v>
      </c>
      <c r="E5">
        <f>IF(Directions!4:4,"AAAAAC/p7wQ=",0)</f>
        <v>0</v>
      </c>
      <c r="F5" t="e">
        <f>AND(Directions!A4,"AAAAAC/p7wU=")</f>
        <v>#VALUE!</v>
      </c>
      <c r="G5">
        <f>IF(Directions!5:5,"AAAAAC/p7wY=",0)</f>
        <v>0</v>
      </c>
      <c r="H5" t="e">
        <f>AND(Directions!A5,"AAAAAC/p7wc=")</f>
        <v>#VALUE!</v>
      </c>
      <c r="I5">
        <f>IF(Directions!6:6,"AAAAAC/p7wg=",0)</f>
        <v>0</v>
      </c>
      <c r="J5" t="e">
        <f>AND(Directions!A6,"AAAAAC/p7wk=")</f>
        <v>#VALUE!</v>
      </c>
      <c r="K5">
        <f>IF(Directions!7:7,"AAAAAC/p7wo=",0)</f>
        <v>0</v>
      </c>
      <c r="L5" t="e">
        <f>AND(Directions!A7,"AAAAAC/p7ws=")</f>
        <v>#VALUE!</v>
      </c>
      <c r="M5">
        <f>IF(Directions!8:8,"AAAAAC/p7ww=",0)</f>
        <v>0</v>
      </c>
      <c r="N5" t="e">
        <f>AND(Directions!A8,"AAAAAC/p7w0=")</f>
        <v>#VALUE!</v>
      </c>
      <c r="O5">
        <f>IF(Directions!9:9,"AAAAAC/p7w4=",0)</f>
        <v>0</v>
      </c>
      <c r="P5" t="e">
        <f>AND(Directions!A9,"AAAAAC/p7w8=")</f>
        <v>#VALUE!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Directions</vt:lpstr>
      <vt:lpstr>Heating and Concentration</vt:lpstr>
      <vt:lpstr>Conversions</vt:lpstr>
      <vt:lpstr>Chart1</vt:lpstr>
    </vt:vector>
  </TitlesOfParts>
  <Company>Hydro Dynamics,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Hudson</dc:creator>
  <cp:lastModifiedBy>Doug</cp:lastModifiedBy>
  <cp:lastPrinted>2005-05-25T16:20:20Z</cp:lastPrinted>
  <dcterms:created xsi:type="dcterms:W3CDTF">2003-08-08T12:35:50Z</dcterms:created>
  <dcterms:modified xsi:type="dcterms:W3CDTF">2012-12-20T21:05:24Z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-103664057</vt:i4>
  </property>
  <property fmtid="{D5CDD505-2E9C-101B-9397-08002B2CF9AE}" pid="3" name="_EmailSubject">
    <vt:lpwstr>SPG Worksheet.xls</vt:lpwstr>
  </property>
  <property fmtid="{D5CDD505-2E9C-101B-9397-08002B2CF9AE}" pid="4" name="_AuthorEmail">
    <vt:lpwstr>rholland@hydrodynamics.com</vt:lpwstr>
  </property>
  <property fmtid="{D5CDD505-2E9C-101B-9397-08002B2CF9AE}" pid="5" name="_AuthorEmailDisplayName">
    <vt:lpwstr>Rockwell Holland</vt:lpwstr>
  </property>
  <property fmtid="{D5CDD505-2E9C-101B-9397-08002B2CF9AE}" pid="6" name="_PreviousAdHocReviewCycleID">
    <vt:i4>1253713482</vt:i4>
  </property>
  <property fmtid="{D5CDD505-2E9C-101B-9397-08002B2CF9AE}" pid="7" name="_ReviewingToolsShownOnce">
    <vt:lpwstr/>
  </property>
  <property fmtid="{D5CDD505-2E9C-101B-9397-08002B2CF9AE}" pid="8" name="Google.Documents.Tracking">
    <vt:lpwstr>true</vt:lpwstr>
  </property>
  <property fmtid="{D5CDD505-2E9C-101B-9397-08002B2CF9AE}" pid="9" name="Google.Documents.DocumentId">
    <vt:lpwstr>1_8M8PZor-gikfhdXs1-bUP9gacphoYke-2G8ET_CBX0</vt:lpwstr>
  </property>
  <property fmtid="{D5CDD505-2E9C-101B-9397-08002B2CF9AE}" pid="10" name="Google.Documents.RevisionId">
    <vt:lpwstr>00635002167377349899</vt:lpwstr>
  </property>
  <property fmtid="{D5CDD505-2E9C-101B-9397-08002B2CF9AE}" pid="11" name="Google.Documents.PreviousRevisionId">
    <vt:lpwstr>10189381437455134611</vt:lpwstr>
  </property>
  <property fmtid="{D5CDD505-2E9C-101B-9397-08002B2CF9AE}" pid="12" name="Google.Documents.PluginVersion">
    <vt:lpwstr>2.0.2662.553</vt:lpwstr>
  </property>
  <property fmtid="{D5CDD505-2E9C-101B-9397-08002B2CF9AE}" pid="13" name="Google.Documents.MergeIncapabilityFlags">
    <vt:i4>0</vt:i4>
  </property>
</Properties>
</file>